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2120" windowHeight="9120"/>
  </bookViews>
  <sheets>
    <sheet name="保险业经营数据" sheetId="6" r:id="rId1"/>
    <sheet name="产险公司数据" sheetId="5" r:id="rId2"/>
    <sheet name="寿险公司数据" sheetId="8" r:id="rId3"/>
    <sheet name="各地区数据" sheetId="9" r:id="rId4"/>
  </sheets>
  <definedNames>
    <definedName name="_xlnm.Print_Area" localSheetId="0">保险业经营数据!$A$1:$C$24</definedName>
  </definedNames>
  <calcPr calcId="124519"/>
</workbook>
</file>

<file path=xl/calcChain.xml><?xml version="1.0" encoding="utf-8"?>
<calcChain xmlns="http://schemas.openxmlformats.org/spreadsheetml/2006/main">
  <c r="F28" i="9"/>
  <c r="E28"/>
  <c r="D28"/>
  <c r="B28"/>
  <c r="F27"/>
  <c r="E27"/>
  <c r="D27"/>
  <c r="B27"/>
  <c r="F26"/>
  <c r="E26"/>
  <c r="C26"/>
  <c r="D26"/>
  <c r="B26"/>
  <c r="F25"/>
  <c r="E25"/>
  <c r="C25"/>
  <c r="D25"/>
  <c r="B25"/>
  <c r="F24"/>
  <c r="E24"/>
  <c r="D24"/>
  <c r="C24"/>
  <c r="B24"/>
  <c r="F23"/>
  <c r="E23"/>
  <c r="D23"/>
  <c r="C23"/>
  <c r="B23"/>
  <c r="F22"/>
  <c r="E22"/>
  <c r="C22"/>
  <c r="D22"/>
  <c r="B22"/>
  <c r="F21"/>
  <c r="C21"/>
  <c r="E21"/>
  <c r="D21"/>
  <c r="B21"/>
  <c r="F20"/>
  <c r="E20"/>
  <c r="D20"/>
  <c r="B20"/>
  <c r="F19"/>
  <c r="E19"/>
  <c r="D19"/>
  <c r="B19"/>
  <c r="F18"/>
  <c r="E18"/>
  <c r="D18"/>
  <c r="B18"/>
  <c r="F17"/>
  <c r="E17"/>
  <c r="D17"/>
  <c r="B17"/>
  <c r="C17"/>
  <c r="F16"/>
  <c r="E16"/>
  <c r="C16"/>
  <c r="D16"/>
  <c r="B16"/>
  <c r="F15"/>
  <c r="E15"/>
  <c r="D15"/>
  <c r="B15"/>
  <c r="F14"/>
  <c r="E14"/>
  <c r="D14"/>
  <c r="B14"/>
  <c r="F13"/>
  <c r="E13"/>
  <c r="D13"/>
  <c r="B13"/>
  <c r="F12"/>
  <c r="E12"/>
  <c r="D12"/>
  <c r="B12"/>
  <c r="C12"/>
  <c r="F11"/>
  <c r="E11"/>
  <c r="D11"/>
  <c r="B11"/>
  <c r="F10"/>
  <c r="E10"/>
  <c r="D10"/>
  <c r="B10"/>
  <c r="F9"/>
  <c r="E9"/>
  <c r="D9"/>
  <c r="B9"/>
  <c r="F8"/>
  <c r="C8"/>
  <c r="E8"/>
  <c r="D8"/>
  <c r="B8"/>
  <c r="F7"/>
  <c r="C7"/>
  <c r="E7"/>
  <c r="D7"/>
  <c r="B7"/>
  <c r="D24" i="8"/>
  <c r="D23"/>
  <c r="D22"/>
  <c r="D21"/>
  <c r="D20"/>
  <c r="D19"/>
  <c r="D18"/>
  <c r="D17"/>
  <c r="D16"/>
  <c r="D15"/>
  <c r="D14"/>
  <c r="D13"/>
  <c r="D12"/>
  <c r="D11"/>
  <c r="D10"/>
  <c r="D9"/>
  <c r="D24" i="5"/>
  <c r="D23"/>
  <c r="D22"/>
  <c r="D21"/>
  <c r="D20"/>
  <c r="D19"/>
  <c r="D18"/>
  <c r="D17"/>
  <c r="D16"/>
  <c r="D15"/>
  <c r="D14"/>
  <c r="D13"/>
  <c r="D12"/>
  <c r="D11"/>
  <c r="D10"/>
  <c r="D9"/>
  <c r="D8"/>
  <c r="C18" i="6"/>
  <c r="C17"/>
  <c r="C16"/>
  <c r="C15"/>
  <c r="C14"/>
  <c r="C13"/>
  <c r="C12"/>
  <c r="C11"/>
  <c r="C10"/>
  <c r="C9"/>
  <c r="C8"/>
  <c r="C7"/>
  <c r="C9" i="9"/>
  <c r="C10"/>
  <c r="C13"/>
  <c r="C14"/>
  <c r="C15"/>
  <c r="C18"/>
  <c r="C19"/>
  <c r="C20"/>
  <c r="C27"/>
  <c r="C28"/>
  <c r="C11" l="1"/>
</calcChain>
</file>

<file path=xl/sharedStrings.xml><?xml version="1.0" encoding="utf-8"?>
<sst xmlns="http://schemas.openxmlformats.org/spreadsheetml/2006/main" count="107" uniqueCount="99">
  <si>
    <t>单位:万元</t>
    <phoneticPr fontId="6" type="noConversion"/>
  </si>
  <si>
    <t>原保险保费收入</t>
    <phoneticPr fontId="6" type="noConversion"/>
  </si>
  <si>
    <t xml:space="preserve">    1、财产险</t>
    <phoneticPr fontId="6" type="noConversion"/>
  </si>
  <si>
    <t xml:space="preserve">    2、人身险</t>
    <phoneticPr fontId="6" type="noConversion"/>
  </si>
  <si>
    <t xml:space="preserve">    （1）人身意外伤害险</t>
    <phoneticPr fontId="6" type="noConversion"/>
  </si>
  <si>
    <t xml:space="preserve">    （2）健康险</t>
    <phoneticPr fontId="6" type="noConversion"/>
  </si>
  <si>
    <t xml:space="preserve">    （3）寿险</t>
    <phoneticPr fontId="6" type="noConversion"/>
  </si>
  <si>
    <t>原保险赔付支出</t>
    <phoneticPr fontId="6" type="noConversion"/>
  </si>
  <si>
    <t xml:space="preserve">   1、财产险</t>
    <phoneticPr fontId="6" type="noConversion"/>
  </si>
  <si>
    <t xml:space="preserve">   2、人身险</t>
    <phoneticPr fontId="6" type="noConversion"/>
  </si>
  <si>
    <t xml:space="preserve">   （1）人身意外伤害险</t>
    <phoneticPr fontId="6" type="noConversion"/>
  </si>
  <si>
    <t xml:space="preserve">   （2）健康险</t>
    <phoneticPr fontId="6" type="noConversion"/>
  </si>
  <si>
    <t xml:space="preserve">   （3）寿险</t>
    <phoneticPr fontId="6" type="noConversion"/>
  </si>
  <si>
    <t>注：1、“原保险保费收入”为按《企业会计准则（2006）》设置的统计指标，指保险企业确认</t>
    <phoneticPr fontId="6" type="noConversion"/>
  </si>
  <si>
    <t xml:space="preserve">       的原保险合同保费收入。</t>
    <phoneticPr fontId="6" type="noConversion"/>
  </si>
  <si>
    <t xml:space="preserve">    2、“原保险赔付支出”为按《企业会计准则（2006）》设置的统计指标，指保险企业支付</t>
    <phoneticPr fontId="6" type="noConversion"/>
  </si>
  <si>
    <t xml:space="preserve">       的原保险合同赔付款项。</t>
    <phoneticPr fontId="6" type="noConversion"/>
  </si>
  <si>
    <t xml:space="preserve">    3、原保险保费收入、原保险赔付支出为本年累计数。</t>
    <phoneticPr fontId="6" type="noConversion"/>
  </si>
  <si>
    <t xml:space="preserve">    4、上述数据来源于各公司报送的保险数据，未经审计。</t>
    <phoneticPr fontId="6" type="noConversion"/>
  </si>
  <si>
    <t>单位：万元</t>
    <phoneticPr fontId="6" type="noConversion"/>
  </si>
  <si>
    <t>资本结构</t>
    <phoneticPr fontId="6" type="noConversion"/>
  </si>
  <si>
    <t>资本结构</t>
    <phoneticPr fontId="6" type="noConversion"/>
  </si>
  <si>
    <t>公司名称</t>
    <phoneticPr fontId="6" type="noConversion"/>
  </si>
  <si>
    <t>原保险保费收入</t>
    <phoneticPr fontId="6" type="noConversion"/>
  </si>
  <si>
    <t>中资</t>
    <phoneticPr fontId="6" type="noConversion"/>
  </si>
  <si>
    <t>中国人民财产保险股份有限公司海南省分公司</t>
    <phoneticPr fontId="6" type="noConversion"/>
  </si>
  <si>
    <t>中国太平洋财产保险股份有限公司海南分公司</t>
    <phoneticPr fontId="6" type="noConversion"/>
  </si>
  <si>
    <t>中国平安财产保险股份有限公司海南分公司</t>
    <phoneticPr fontId="6" type="noConversion"/>
  </si>
  <si>
    <t>天安保险股份有限公司海南省分公司</t>
    <phoneticPr fontId="6" type="noConversion"/>
  </si>
  <si>
    <t>亚太财产保险有限公司海南分公司</t>
    <phoneticPr fontId="6" type="noConversion"/>
  </si>
  <si>
    <t>安邦财产保险股份有限公司海南分公司</t>
    <phoneticPr fontId="6" type="noConversion"/>
  </si>
  <si>
    <t>阳光财产保险股份有限公司海南省分公司</t>
    <phoneticPr fontId="6" type="noConversion"/>
  </si>
  <si>
    <t>中国大地财产保险股份有限公司海南分公司</t>
    <phoneticPr fontId="6" type="noConversion"/>
  </si>
  <si>
    <t>鼎和财产保险股份有限公司海南分公司</t>
    <phoneticPr fontId="6" type="noConversion"/>
  </si>
  <si>
    <t>中国人寿财产保险股份有限公司海南省分公司</t>
    <phoneticPr fontId="6" type="noConversion"/>
  </si>
  <si>
    <t>永诚财产保险股份有限公司海南分公司</t>
    <phoneticPr fontId="6" type="noConversion"/>
  </si>
  <si>
    <t>华安财产保险股份有限公司海南分公司</t>
    <phoneticPr fontId="6" type="noConversion"/>
  </si>
  <si>
    <t>众安在线财产保险股份有限公司海南省分公司（虚拟）</t>
    <phoneticPr fontId="6" type="noConversion"/>
  </si>
  <si>
    <t>泰康在线财产保险股份有限公司海南省分公司（虚拟）</t>
    <phoneticPr fontId="6" type="noConversion"/>
  </si>
  <si>
    <t>小计</t>
    <phoneticPr fontId="6" type="noConversion"/>
  </si>
  <si>
    <t>外资</t>
    <phoneticPr fontId="6" type="noConversion"/>
  </si>
  <si>
    <t>小计</t>
    <phoneticPr fontId="6" type="noConversion"/>
  </si>
  <si>
    <t>合计</t>
    <phoneticPr fontId="6" type="noConversion"/>
  </si>
  <si>
    <t>注：1.原保险保费收入为本年累计数，数据来源于各产险公司报送保监会月报数据。</t>
    <phoneticPr fontId="6" type="noConversion"/>
  </si>
  <si>
    <t xml:space="preserve">    2.原保险保费收入为各产险公司内部管理报表数据，未经审计，各产险公司不</t>
    <phoneticPr fontId="6" type="noConversion"/>
  </si>
  <si>
    <t xml:space="preserve">      对该数据的用途及由此带来的后果承担任何法律责任。</t>
    <phoneticPr fontId="6" type="noConversion"/>
  </si>
  <si>
    <t xml:space="preserve">    3.由于计算的四舍五入问题，各产险公司原保险保费收入可能存在细微的误差。</t>
    <phoneticPr fontId="6" type="noConversion"/>
  </si>
  <si>
    <t>公司名称</t>
    <phoneticPr fontId="6" type="noConversion"/>
  </si>
  <si>
    <t>中资</t>
    <phoneticPr fontId="6" type="noConversion"/>
  </si>
  <si>
    <t>中国人寿保险股份有限公司海南省分公司</t>
    <phoneticPr fontId="6" type="noConversion"/>
  </si>
  <si>
    <t>国寿集团存续业务海南省分公司</t>
    <phoneticPr fontId="6" type="noConversion"/>
  </si>
  <si>
    <t>中国太平洋人寿保险股份有限公司海南分公司</t>
    <phoneticPr fontId="6" type="noConversion"/>
  </si>
  <si>
    <t>中国平安人寿保险股份有限公司海南分公司</t>
    <phoneticPr fontId="6" type="noConversion"/>
  </si>
  <si>
    <t>新华人寿保险股份有限公司海南分公司</t>
    <phoneticPr fontId="6" type="noConversion"/>
  </si>
  <si>
    <t>中国人民人寿保险股份有限公司海南省分公司</t>
    <phoneticPr fontId="6" type="noConversion"/>
  </si>
  <si>
    <t>生命人寿保险股份有限公司海南分公司</t>
    <phoneticPr fontId="6" type="noConversion"/>
  </si>
  <si>
    <t>平安养老保险股份有限公司海南分公司</t>
    <phoneticPr fontId="6" type="noConversion"/>
  </si>
  <si>
    <t>太平人寿保险有限公司海南分公司</t>
    <phoneticPr fontId="6" type="noConversion"/>
  </si>
  <si>
    <t>泰康人寿保险股份有限公司海南分公司</t>
    <phoneticPr fontId="6" type="noConversion"/>
  </si>
  <si>
    <t>阳光人寿保险股份有限公司海南省分公司</t>
    <phoneticPr fontId="6" type="noConversion"/>
  </si>
  <si>
    <t>华夏人寿保险股份有限公司海南分公司</t>
    <phoneticPr fontId="6" type="noConversion"/>
  </si>
  <si>
    <t>小           计</t>
    <phoneticPr fontId="6" type="noConversion"/>
  </si>
  <si>
    <t>新光海航人寿保险有限责任公司海南省分公司</t>
    <phoneticPr fontId="6" type="noConversion"/>
  </si>
  <si>
    <t>注：1.原保险保费收入为本年累计数，数据来源于各寿险公司报送保监会月报数据。</t>
    <phoneticPr fontId="6" type="noConversion"/>
  </si>
  <si>
    <t xml:space="preserve">    2.原保险保费收入为各寿险公司内部管理报表数据，未经审计，各寿险公司不</t>
    <phoneticPr fontId="6" type="noConversion"/>
  </si>
  <si>
    <t xml:space="preserve">    3.由于计算的四舍五入问题，各寿险公司原保险保费收入可能存在细微的误差。</t>
    <phoneticPr fontId="6" type="noConversion"/>
  </si>
  <si>
    <t>地区</t>
    <phoneticPr fontId="6" type="noConversion"/>
  </si>
  <si>
    <t>财产保险</t>
    <phoneticPr fontId="6" type="noConversion"/>
  </si>
  <si>
    <t>寿险</t>
    <phoneticPr fontId="6" type="noConversion"/>
  </si>
  <si>
    <t>意外险</t>
    <phoneticPr fontId="6" type="noConversion"/>
  </si>
  <si>
    <t>健康险</t>
    <phoneticPr fontId="6" type="noConversion"/>
  </si>
  <si>
    <t>辖区合计</t>
    <phoneticPr fontId="6" type="noConversion"/>
  </si>
  <si>
    <t>省公司本级</t>
    <phoneticPr fontId="6" type="noConversion"/>
  </si>
  <si>
    <t>海口市</t>
    <phoneticPr fontId="6" type="noConversion"/>
  </si>
  <si>
    <t>三亚市</t>
    <phoneticPr fontId="6" type="noConversion"/>
  </si>
  <si>
    <t>三沙市</t>
    <phoneticPr fontId="6" type="noConversion"/>
  </si>
  <si>
    <t>五指山市</t>
    <phoneticPr fontId="6" type="noConversion"/>
  </si>
  <si>
    <t>琼海市</t>
    <phoneticPr fontId="6" type="noConversion"/>
  </si>
  <si>
    <t>儋州市</t>
    <phoneticPr fontId="6" type="noConversion"/>
  </si>
  <si>
    <t>文昌市</t>
    <phoneticPr fontId="6" type="noConversion"/>
  </si>
  <si>
    <t>万宁市</t>
    <phoneticPr fontId="6" type="noConversion"/>
  </si>
  <si>
    <t>东方市</t>
    <phoneticPr fontId="6" type="noConversion"/>
  </si>
  <si>
    <t>定安县</t>
    <phoneticPr fontId="6" type="noConversion"/>
  </si>
  <si>
    <t>屯昌县</t>
    <phoneticPr fontId="6" type="noConversion"/>
  </si>
  <si>
    <t>澄迈县</t>
    <phoneticPr fontId="6" type="noConversion"/>
  </si>
  <si>
    <t>临高县</t>
    <phoneticPr fontId="6" type="noConversion"/>
  </si>
  <si>
    <t>白沙黎族自治县</t>
    <phoneticPr fontId="6" type="noConversion"/>
  </si>
  <si>
    <t>昌江黎族自治县</t>
    <phoneticPr fontId="6" type="noConversion"/>
  </si>
  <si>
    <t>乐东黎族自治县</t>
    <phoneticPr fontId="6" type="noConversion"/>
  </si>
  <si>
    <t>陵水黎族自治县</t>
    <phoneticPr fontId="6" type="noConversion"/>
  </si>
  <si>
    <t>保亭黎苗族自治县</t>
    <phoneticPr fontId="6" type="noConversion"/>
  </si>
  <si>
    <t>琼中黎苗族自治县</t>
    <phoneticPr fontId="6" type="noConversion"/>
  </si>
  <si>
    <t>洋浦开发区</t>
    <phoneticPr fontId="6" type="noConversion"/>
  </si>
  <si>
    <t>注：1、全部数值均为本年累计值。</t>
    <phoneticPr fontId="6" type="noConversion"/>
  </si>
  <si>
    <t xml:space="preserve">    2、上述数据来源于各公司报送的保险数据，未经审计。</t>
    <phoneticPr fontId="6" type="noConversion"/>
  </si>
  <si>
    <t>表 2  2016年3月财产保险公司原保险保费收入情况表</t>
    <phoneticPr fontId="6" type="noConversion"/>
  </si>
  <si>
    <t>表 1    2016年3月保险业经营数据</t>
    <phoneticPr fontId="6" type="noConversion"/>
  </si>
  <si>
    <t>表 3  2016年3月人身保险公司原保险保费收入情况表</t>
    <phoneticPr fontId="6" type="noConversion"/>
  </si>
  <si>
    <t>表 4  2016年3月海南辖区各市县原保险保费收入情况表</t>
    <phoneticPr fontId="6" type="noConversion"/>
  </si>
</sst>
</file>

<file path=xl/styles.xml><?xml version="1.0" encoding="utf-8"?>
<styleSheet xmlns="http://schemas.openxmlformats.org/spreadsheetml/2006/main">
  <numFmts count="2">
    <numFmt numFmtId="176" formatCode="0.00_ "/>
    <numFmt numFmtId="177" formatCode="#0.00"/>
  </numFmts>
  <fonts count="14">
    <font>
      <sz val="12"/>
      <name val="宋体"/>
      <charset val="134"/>
    </font>
    <font>
      <sz val="12"/>
      <color indexed="8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b/>
      <sz val="10"/>
      <color indexed="8"/>
      <name val="宋体"/>
      <family val="3"/>
      <charset val="134"/>
    </font>
    <font>
      <sz val="9"/>
      <name val="宋体"/>
      <family val="3"/>
      <charset val="134"/>
    </font>
    <font>
      <sz val="10"/>
      <name val="宋体"/>
      <family val="3"/>
      <charset val="134"/>
    </font>
    <font>
      <b/>
      <sz val="12"/>
      <name val="宋体"/>
      <family val="3"/>
      <charset val="134"/>
    </font>
    <font>
      <sz val="9"/>
      <color indexed="0"/>
      <name val="Arial"/>
      <family val="2"/>
    </font>
    <font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0"/>
      <color indexed="8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6">
    <xf numFmtId="0" fontId="0" fillId="0" borderId="0"/>
    <xf numFmtId="0" fontId="9" fillId="0" borderId="0">
      <alignment horizontal="left" vertical="center"/>
    </xf>
    <xf numFmtId="0" fontId="9" fillId="0" borderId="0">
      <alignment horizontal="left" vertical="center"/>
    </xf>
    <xf numFmtId="0" fontId="11" fillId="0" borderId="0">
      <alignment vertical="center"/>
    </xf>
    <xf numFmtId="0" fontId="9" fillId="0" borderId="0">
      <alignment horizontal="left" vertical="center"/>
    </xf>
    <xf numFmtId="0" fontId="10" fillId="0" borderId="0"/>
  </cellStyleXfs>
  <cellXfs count="53">
    <xf numFmtId="0" fontId="0" fillId="0" borderId="0" xfId="0"/>
    <xf numFmtId="0" fontId="1" fillId="2" borderId="0" xfId="0" applyFont="1" applyFill="1" applyAlignment="1">
      <alignment wrapText="1"/>
    </xf>
    <xf numFmtId="0" fontId="4" fillId="2" borderId="1" xfId="0" applyFont="1" applyFill="1" applyBorder="1" applyAlignment="1">
      <alignment wrapText="1"/>
    </xf>
    <xf numFmtId="0" fontId="0" fillId="0" borderId="0" xfId="0" applyAlignment="1">
      <alignment horizontal="left" indent="1"/>
    </xf>
    <xf numFmtId="0" fontId="4" fillId="2" borderId="1" xfId="0" applyFont="1" applyFill="1" applyBorder="1" applyAlignment="1">
      <alignment horizontal="left" wrapText="1" indent="2"/>
    </xf>
    <xf numFmtId="0" fontId="0" fillId="0" borderId="0" xfId="0" applyBorder="1"/>
    <xf numFmtId="0" fontId="4" fillId="2" borderId="0" xfId="0" applyFont="1" applyFill="1" applyBorder="1" applyAlignment="1">
      <alignment horizontal="left" wrapText="1" indent="3"/>
    </xf>
    <xf numFmtId="0" fontId="4" fillId="2" borderId="2" xfId="0" applyFont="1" applyFill="1" applyBorder="1" applyAlignment="1">
      <alignment horizontal="left" vertical="center" wrapText="1" indent="2"/>
    </xf>
    <xf numFmtId="0" fontId="7" fillId="0" borderId="0" xfId="0" applyFont="1"/>
    <xf numFmtId="0" fontId="4" fillId="2" borderId="1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0" fontId="7" fillId="0" borderId="3" xfId="0" applyFont="1" applyBorder="1" applyAlignment="1">
      <alignment vertical="center"/>
    </xf>
    <xf numFmtId="57" fontId="4" fillId="2" borderId="0" xfId="0" applyNumberFormat="1" applyFont="1" applyFill="1" applyAlignment="1">
      <alignment horizontal="center" wrapText="1"/>
    </xf>
    <xf numFmtId="0" fontId="4" fillId="2" borderId="3" xfId="0" applyFont="1" applyFill="1" applyBorder="1" applyAlignment="1">
      <alignment vertical="center" wrapText="1"/>
    </xf>
    <xf numFmtId="176" fontId="0" fillId="0" borderId="0" xfId="0" applyNumberFormat="1"/>
    <xf numFmtId="0" fontId="4" fillId="2" borderId="0" xfId="0" applyFont="1" applyFill="1" applyAlignment="1">
      <alignment wrapText="1"/>
    </xf>
    <xf numFmtId="0" fontId="7" fillId="0" borderId="2" xfId="0" applyFont="1" applyBorder="1" applyAlignment="1">
      <alignment vertical="center"/>
    </xf>
    <xf numFmtId="0" fontId="8" fillId="0" borderId="0" xfId="0" applyFont="1" applyBorder="1"/>
    <xf numFmtId="0" fontId="8" fillId="0" borderId="0" xfId="0" applyFont="1"/>
    <xf numFmtId="0" fontId="5" fillId="2" borderId="0" xfId="0" applyFont="1" applyFill="1" applyAlignment="1">
      <alignment wrapText="1"/>
    </xf>
    <xf numFmtId="0" fontId="5" fillId="2" borderId="3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left" wrapText="1" indent="1"/>
    </xf>
    <xf numFmtId="0" fontId="5" fillId="0" borderId="3" xfId="2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wrapText="1"/>
    </xf>
    <xf numFmtId="0" fontId="5" fillId="2" borderId="5" xfId="0" applyFont="1" applyFill="1" applyBorder="1" applyAlignment="1">
      <alignment horizontal="center" wrapText="1"/>
    </xf>
    <xf numFmtId="0" fontId="4" fillId="2" borderId="7" xfId="0" applyFont="1" applyFill="1" applyBorder="1" applyAlignment="1">
      <alignment vertical="center" wrapText="1"/>
    </xf>
    <xf numFmtId="176" fontId="0" fillId="0" borderId="0" xfId="0" applyNumberFormat="1" applyBorder="1"/>
    <xf numFmtId="0" fontId="0" fillId="0" borderId="0" xfId="0" applyFill="1" applyBorder="1"/>
    <xf numFmtId="0" fontId="0" fillId="0" borderId="0" xfId="0" applyFill="1"/>
    <xf numFmtId="177" fontId="12" fillId="0" borderId="16" xfId="4" applyNumberFormat="1" applyFont="1" applyFill="1" applyBorder="1" applyAlignment="1">
      <alignment horizontal="right" vertical="center"/>
    </xf>
    <xf numFmtId="176" fontId="13" fillId="0" borderId="7" xfId="3" applyNumberFormat="1" applyFont="1" applyBorder="1" applyAlignment="1">
      <alignment horizontal="center" vertical="center" shrinkToFit="1"/>
    </xf>
    <xf numFmtId="176" fontId="12" fillId="2" borderId="3" xfId="5" applyNumberFormat="1" applyFont="1" applyFill="1" applyBorder="1" applyAlignment="1">
      <alignment vertical="center" shrinkToFit="1"/>
    </xf>
    <xf numFmtId="176" fontId="12" fillId="0" borderId="3" xfId="5" applyNumberFormat="1" applyFont="1" applyFill="1" applyBorder="1" applyAlignment="1">
      <alignment vertical="center" shrinkToFit="1"/>
    </xf>
    <xf numFmtId="0" fontId="5" fillId="2" borderId="2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wrapText="1"/>
    </xf>
    <xf numFmtId="0" fontId="3" fillId="2" borderId="0" xfId="0" applyFont="1" applyFill="1" applyAlignment="1">
      <alignment horizontal="center" wrapText="1"/>
    </xf>
    <xf numFmtId="0" fontId="3" fillId="2" borderId="0" xfId="0" applyFont="1" applyFill="1" applyBorder="1" applyAlignment="1">
      <alignment horizontal="center" wrapText="1"/>
    </xf>
    <xf numFmtId="0" fontId="5" fillId="2" borderId="9" xfId="0" applyFont="1" applyFill="1" applyBorder="1" applyAlignment="1">
      <alignment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vertical="center" wrapText="1"/>
    </xf>
    <xf numFmtId="0" fontId="5" fillId="2" borderId="10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wrapText="1"/>
    </xf>
    <xf numFmtId="0" fontId="4" fillId="2" borderId="8" xfId="0" applyFont="1" applyFill="1" applyBorder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 wrapText="1"/>
    </xf>
  </cellXfs>
  <cellStyles count="6">
    <cellStyle name="常规" xfId="0" builtinId="0"/>
    <cellStyle name="常规 2" xfId="1"/>
    <cellStyle name="常规 2 3 2" xfId="5"/>
    <cellStyle name="常规 3" xfId="3"/>
    <cellStyle name="常规_jlfxy2_1.1101吉林局－以集团本..－基本统计数据表（2007" xfId="4"/>
    <cellStyle name="常规_模板补充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4"/>
  <sheetViews>
    <sheetView tabSelected="1" workbookViewId="0">
      <selection activeCell="F13" sqref="F13"/>
    </sheetView>
  </sheetViews>
  <sheetFormatPr defaultRowHeight="14.25"/>
  <cols>
    <col min="1" max="1" width="9.375" customWidth="1"/>
    <col min="2" max="2" width="48.125" customWidth="1"/>
    <col min="3" max="3" width="21.875" style="8" customWidth="1"/>
  </cols>
  <sheetData>
    <row r="1" spans="2:9" ht="21.75" customHeight="1"/>
    <row r="2" spans="2:9">
      <c r="B2" s="50" t="s">
        <v>96</v>
      </c>
      <c r="C2" s="51"/>
      <c r="D2" s="5"/>
      <c r="I2" s="3"/>
    </row>
    <row r="3" spans="2:9">
      <c r="B3" s="52"/>
      <c r="C3" s="52"/>
      <c r="D3" s="5"/>
    </row>
    <row r="4" spans="2:9">
      <c r="B4" s="50"/>
      <c r="C4" s="51"/>
      <c r="D4" s="5"/>
    </row>
    <row r="5" spans="2:9">
      <c r="B5" s="35"/>
      <c r="C5" s="36"/>
      <c r="D5" s="5"/>
    </row>
    <row r="6" spans="2:9">
      <c r="B6" s="2"/>
      <c r="C6" s="4" t="s">
        <v>0</v>
      </c>
      <c r="D6" s="5"/>
    </row>
    <row r="7" spans="2:9" ht="26.1" customHeight="1">
      <c r="B7" s="7" t="s">
        <v>1</v>
      </c>
      <c r="C7" s="29">
        <f>490712.58</f>
        <v>490712.58</v>
      </c>
    </row>
    <row r="8" spans="2:9" ht="26.1" customHeight="1">
      <c r="B8" s="7" t="s">
        <v>2</v>
      </c>
      <c r="C8" s="29">
        <f>135040.95</f>
        <v>135040.95000000001</v>
      </c>
    </row>
    <row r="9" spans="2:9" ht="26.1" customHeight="1">
      <c r="B9" s="7" t="s">
        <v>3</v>
      </c>
      <c r="C9" s="29">
        <f>355671.64</f>
        <v>355671.64</v>
      </c>
    </row>
    <row r="10" spans="2:9" ht="26.1" customHeight="1">
      <c r="B10" s="7" t="s">
        <v>4</v>
      </c>
      <c r="C10" s="29">
        <f>8526.08</f>
        <v>8526.08</v>
      </c>
    </row>
    <row r="11" spans="2:9" ht="26.1" customHeight="1">
      <c r="B11" s="7" t="s">
        <v>5</v>
      </c>
      <c r="C11" s="29">
        <f>49209.55</f>
        <v>49209.55</v>
      </c>
    </row>
    <row r="12" spans="2:9" ht="26.1" customHeight="1">
      <c r="B12" s="7" t="s">
        <v>6</v>
      </c>
      <c r="C12" s="29">
        <f>297936.01</f>
        <v>297936.01</v>
      </c>
    </row>
    <row r="13" spans="2:9" ht="26.1" customHeight="1">
      <c r="B13" s="7" t="s">
        <v>7</v>
      </c>
      <c r="C13" s="29">
        <f>115348.59</f>
        <v>115348.59</v>
      </c>
    </row>
    <row r="14" spans="2:9" ht="26.1" customHeight="1">
      <c r="B14" s="7" t="s">
        <v>8</v>
      </c>
      <c r="C14" s="29">
        <f>54245.37</f>
        <v>54245.37</v>
      </c>
    </row>
    <row r="15" spans="2:9" ht="26.1" customHeight="1">
      <c r="B15" s="7" t="s">
        <v>9</v>
      </c>
      <c r="C15" s="29">
        <f>61103.22</f>
        <v>61103.22</v>
      </c>
    </row>
    <row r="16" spans="2:9" ht="26.1" customHeight="1">
      <c r="B16" s="7" t="s">
        <v>10</v>
      </c>
      <c r="C16" s="29">
        <f>1820.33</f>
        <v>1820.33</v>
      </c>
    </row>
    <row r="17" spans="2:3" ht="26.1" customHeight="1">
      <c r="B17" s="7" t="s">
        <v>11</v>
      </c>
      <c r="C17" s="29">
        <f>21445.17</f>
        <v>21445.17</v>
      </c>
    </row>
    <row r="18" spans="2:3" ht="26.1" customHeight="1">
      <c r="B18" s="7" t="s">
        <v>12</v>
      </c>
      <c r="C18" s="29">
        <f>37837.72</f>
        <v>37837.72</v>
      </c>
    </row>
    <row r="19" spans="2:3" ht="14.25" customHeight="1">
      <c r="B19" s="8" t="s">
        <v>13</v>
      </c>
    </row>
    <row r="20" spans="2:3">
      <c r="B20" s="8" t="s">
        <v>14</v>
      </c>
    </row>
    <row r="21" spans="2:3">
      <c r="B21" s="8" t="s">
        <v>15</v>
      </c>
    </row>
    <row r="22" spans="2:3">
      <c r="B22" s="8" t="s">
        <v>16</v>
      </c>
    </row>
    <row r="23" spans="2:3">
      <c r="B23" s="8" t="s">
        <v>17</v>
      </c>
    </row>
    <row r="24" spans="2:3">
      <c r="B24" s="8" t="s">
        <v>18</v>
      </c>
    </row>
  </sheetData>
  <mergeCells count="2">
    <mergeCell ref="B2:C4"/>
    <mergeCell ref="B5:C5"/>
  </mergeCells>
  <phoneticPr fontId="6" type="noConversion"/>
  <pageMargins left="0.75" right="0.75" top="1" bottom="1" header="0.5" footer="0.5"/>
  <pageSetup paperSize="9" orientation="portrait" r:id="rId1"/>
  <headerFooter alignWithMargins="0">
    <oddFooter>&amp;L&amp;"Times New Roman,常规"&amp;9 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E28"/>
  <sheetViews>
    <sheetView showGridLines="0" workbookViewId="0">
      <selection activeCell="F8" sqref="F8"/>
    </sheetView>
  </sheetViews>
  <sheetFormatPr defaultRowHeight="14.25"/>
  <cols>
    <col min="2" max="2" width="9.625" customWidth="1"/>
    <col min="3" max="3" width="39.875" customWidth="1"/>
    <col min="4" max="4" width="24.5" customWidth="1"/>
    <col min="5" max="5" width="11.625" bestFit="1" customWidth="1"/>
  </cols>
  <sheetData>
    <row r="1" spans="2:5">
      <c r="B1" s="50" t="s">
        <v>95</v>
      </c>
      <c r="C1" s="50"/>
      <c r="D1" s="51"/>
      <c r="E1" s="5"/>
    </row>
    <row r="2" spans="2:5">
      <c r="B2" s="52"/>
      <c r="C2" s="52"/>
      <c r="D2" s="52"/>
      <c r="E2" s="5"/>
    </row>
    <row r="3" spans="2:5">
      <c r="B3" s="50"/>
      <c r="C3" s="50"/>
      <c r="D3" s="51"/>
      <c r="E3" s="5"/>
    </row>
    <row r="4" spans="2:5">
      <c r="B4" s="35"/>
      <c r="C4" s="35"/>
      <c r="D4" s="36"/>
      <c r="E4" s="5"/>
    </row>
    <row r="5" spans="2:5">
      <c r="B5" s="1"/>
      <c r="C5" s="12"/>
      <c r="D5" s="6" t="s">
        <v>19</v>
      </c>
      <c r="E5" s="5"/>
    </row>
    <row r="6" spans="2:5">
      <c r="B6" s="38" t="s">
        <v>21</v>
      </c>
      <c r="C6" s="40" t="s">
        <v>22</v>
      </c>
      <c r="D6" s="40" t="s">
        <v>23</v>
      </c>
      <c r="E6" s="5"/>
    </row>
    <row r="7" spans="2:5" ht="9.75" customHeight="1">
      <c r="B7" s="39"/>
      <c r="C7" s="41"/>
      <c r="D7" s="41"/>
      <c r="E7" s="5"/>
    </row>
    <row r="8" spans="2:5" ht="24" customHeight="1">
      <c r="B8" s="38" t="s">
        <v>24</v>
      </c>
      <c r="C8" s="9" t="s">
        <v>25</v>
      </c>
      <c r="D8" s="30">
        <f>494179842.21/10000</f>
        <v>49417.984220999999</v>
      </c>
      <c r="E8" s="5"/>
    </row>
    <row r="9" spans="2:5" ht="24" customHeight="1">
      <c r="B9" s="42"/>
      <c r="C9" s="9" t="s">
        <v>26</v>
      </c>
      <c r="D9" s="30">
        <f>261713741.78/10000</f>
        <v>26171.374178000002</v>
      </c>
      <c r="E9" s="5"/>
    </row>
    <row r="10" spans="2:5" ht="24" customHeight="1">
      <c r="B10" s="42"/>
      <c r="C10" s="9" t="s">
        <v>27</v>
      </c>
      <c r="D10" s="30">
        <f>343445055.87/10000</f>
        <v>34344.505587</v>
      </c>
      <c r="E10" s="5"/>
    </row>
    <row r="11" spans="2:5" ht="24" customHeight="1">
      <c r="B11" s="42"/>
      <c r="C11" s="9" t="s">
        <v>28</v>
      </c>
      <c r="D11" s="30">
        <f>21567161.99/10000</f>
        <v>2156.716199</v>
      </c>
      <c r="E11" s="5"/>
    </row>
    <row r="12" spans="2:5" ht="24" customHeight="1">
      <c r="B12" s="42"/>
      <c r="C12" s="9" t="s">
        <v>29</v>
      </c>
      <c r="D12" s="30">
        <f>6900241.79/10000</f>
        <v>690.024179</v>
      </c>
      <c r="E12" s="5"/>
    </row>
    <row r="13" spans="2:5" ht="24" customHeight="1">
      <c r="B13" s="42"/>
      <c r="C13" s="9" t="s">
        <v>30</v>
      </c>
      <c r="D13" s="30">
        <f>4542994.15/10000</f>
        <v>454.29941500000001</v>
      </c>
      <c r="E13" s="5"/>
    </row>
    <row r="14" spans="2:5" ht="24" customHeight="1">
      <c r="B14" s="42"/>
      <c r="C14" s="9" t="s">
        <v>31</v>
      </c>
      <c r="D14" s="30">
        <f>60315163.26/10000</f>
        <v>6031.5163259999999</v>
      </c>
      <c r="E14" s="5"/>
    </row>
    <row r="15" spans="2:5" ht="24" customHeight="1">
      <c r="B15" s="42"/>
      <c r="C15" s="25" t="s">
        <v>32</v>
      </c>
      <c r="D15" s="30">
        <f>68107125.53/10000</f>
        <v>6810.7125530000003</v>
      </c>
      <c r="E15" s="5"/>
    </row>
    <row r="16" spans="2:5" ht="24" customHeight="1">
      <c r="B16" s="42"/>
      <c r="C16" s="9" t="s">
        <v>33</v>
      </c>
      <c r="D16" s="30">
        <f>80644129.33/10000</f>
        <v>8064.4129329999996</v>
      </c>
      <c r="E16" s="5"/>
    </row>
    <row r="17" spans="2:5" ht="24" customHeight="1">
      <c r="B17" s="42"/>
      <c r="C17" s="9" t="s">
        <v>34</v>
      </c>
      <c r="D17" s="30">
        <f>43861636.74/10000</f>
        <v>4386.1636740000004</v>
      </c>
      <c r="E17" s="5"/>
    </row>
    <row r="18" spans="2:5" ht="24" customHeight="1">
      <c r="B18" s="42"/>
      <c r="C18" s="9" t="s">
        <v>35</v>
      </c>
      <c r="D18" s="30">
        <f>37439055.65/10000</f>
        <v>3743.905565</v>
      </c>
      <c r="E18" s="5"/>
    </row>
    <row r="19" spans="2:5" ht="24" customHeight="1">
      <c r="B19" s="42"/>
      <c r="C19" s="9" t="s">
        <v>36</v>
      </c>
      <c r="D19" s="30">
        <f>6929108.52/10000</f>
        <v>692.91085199999998</v>
      </c>
      <c r="E19" s="5"/>
    </row>
    <row r="20" spans="2:5" ht="24" customHeight="1">
      <c r="B20" s="42"/>
      <c r="C20" s="9" t="s">
        <v>37</v>
      </c>
      <c r="D20" s="30">
        <f>1303005.86/10000</f>
        <v>130.30058600000001</v>
      </c>
      <c r="E20" s="5"/>
    </row>
    <row r="21" spans="2:5" ht="24" customHeight="1">
      <c r="B21" s="42"/>
      <c r="C21" s="9" t="s">
        <v>38</v>
      </c>
      <c r="D21" s="30">
        <f>450/10000</f>
        <v>4.4999999999999998E-2</v>
      </c>
      <c r="E21" s="5"/>
    </row>
    <row r="22" spans="2:5" ht="24" customHeight="1">
      <c r="B22" s="39"/>
      <c r="C22" s="9" t="s">
        <v>39</v>
      </c>
      <c r="D22" s="30">
        <f>1430948712.68/10000</f>
        <v>143094.87126800002</v>
      </c>
      <c r="E22" s="5"/>
    </row>
    <row r="23" spans="2:5" ht="24" customHeight="1">
      <c r="B23" s="33" t="s">
        <v>40</v>
      </c>
      <c r="C23" s="9" t="s">
        <v>41</v>
      </c>
      <c r="D23" s="30">
        <f>0/10000</f>
        <v>0</v>
      </c>
      <c r="E23" s="5"/>
    </row>
    <row r="24" spans="2:5" ht="24" customHeight="1">
      <c r="B24" s="37" t="s">
        <v>42</v>
      </c>
      <c r="C24" s="37"/>
      <c r="D24" s="30">
        <f>1430948712.68/10000</f>
        <v>143094.87126800002</v>
      </c>
      <c r="E24" s="26"/>
    </row>
    <row r="25" spans="2:5" ht="20.100000000000001" customHeight="1">
      <c r="B25" s="8" t="s">
        <v>43</v>
      </c>
    </row>
    <row r="26" spans="2:5" ht="20.100000000000001" customHeight="1">
      <c r="B26" s="8" t="s">
        <v>44</v>
      </c>
    </row>
    <row r="27" spans="2:5" ht="20.100000000000001" customHeight="1">
      <c r="B27" s="8" t="s">
        <v>45</v>
      </c>
    </row>
    <row r="28" spans="2:5" ht="20.100000000000001" customHeight="1">
      <c r="B28" s="8" t="s">
        <v>46</v>
      </c>
    </row>
  </sheetData>
  <mergeCells count="7">
    <mergeCell ref="B24:C24"/>
    <mergeCell ref="B1:D3"/>
    <mergeCell ref="B4:D4"/>
    <mergeCell ref="B6:B7"/>
    <mergeCell ref="C6:C7"/>
    <mergeCell ref="D6:D7"/>
    <mergeCell ref="B8:B22"/>
  </mergeCells>
  <phoneticPr fontId="6" type="noConversion"/>
  <pageMargins left="0.75" right="0.75" top="1" bottom="1" header="0.5" footer="0.5"/>
  <pageSetup paperSize="9" orientation="portrait" r:id="rId1"/>
  <headerFooter alignWithMargins="0">
    <oddFooter>&amp;R&amp;"Times New Roman,常规"&amp;9 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F28"/>
  <sheetViews>
    <sheetView workbookViewId="0">
      <selection activeCell="G10" sqref="G10"/>
    </sheetView>
  </sheetViews>
  <sheetFormatPr defaultRowHeight="14.25"/>
  <cols>
    <col min="2" max="2" width="10" customWidth="1"/>
    <col min="3" max="3" width="40.75" customWidth="1"/>
    <col min="4" max="4" width="24.5" customWidth="1"/>
    <col min="6" max="6" width="11.625" bestFit="1" customWidth="1"/>
  </cols>
  <sheetData>
    <row r="1" spans="2:5">
      <c r="B1" s="50" t="s">
        <v>97</v>
      </c>
      <c r="C1" s="50"/>
      <c r="D1" s="51"/>
    </row>
    <row r="2" spans="2:5">
      <c r="B2" s="50"/>
      <c r="C2" s="50"/>
      <c r="D2" s="51"/>
    </row>
    <row r="3" spans="2:5">
      <c r="B3" s="52"/>
      <c r="C3" s="52"/>
      <c r="D3" s="52"/>
    </row>
    <row r="4" spans="2:5">
      <c r="B4" s="50"/>
      <c r="C4" s="50"/>
      <c r="D4" s="51"/>
    </row>
    <row r="5" spans="2:5">
      <c r="B5" s="35"/>
      <c r="C5" s="35"/>
      <c r="D5" s="36"/>
    </row>
    <row r="6" spans="2:5">
      <c r="B6" s="1"/>
      <c r="C6" s="12"/>
      <c r="D6" s="6" t="s">
        <v>19</v>
      </c>
    </row>
    <row r="7" spans="2:5">
      <c r="B7" s="44" t="s">
        <v>20</v>
      </c>
      <c r="C7" s="46" t="s">
        <v>47</v>
      </c>
      <c r="D7" s="40" t="s">
        <v>1</v>
      </c>
    </row>
    <row r="8" spans="2:5" ht="15" customHeight="1">
      <c r="B8" s="45"/>
      <c r="C8" s="47"/>
      <c r="D8" s="41"/>
    </row>
    <row r="9" spans="2:5" ht="24" customHeight="1">
      <c r="B9" s="38" t="s">
        <v>48</v>
      </c>
      <c r="C9" s="11" t="s">
        <v>49</v>
      </c>
      <c r="D9" s="30">
        <f>924502686.56/10000</f>
        <v>92450.268656</v>
      </c>
      <c r="E9" s="5"/>
    </row>
    <row r="10" spans="2:5" ht="24" customHeight="1">
      <c r="B10" s="42"/>
      <c r="C10" s="11" t="s">
        <v>50</v>
      </c>
      <c r="D10" s="30">
        <f>2144833.32/10000</f>
        <v>214.48333199999999</v>
      </c>
      <c r="E10" s="5"/>
    </row>
    <row r="11" spans="2:5" ht="24" customHeight="1">
      <c r="B11" s="42"/>
      <c r="C11" s="11" t="s">
        <v>51</v>
      </c>
      <c r="D11" s="30">
        <f>211256183.77/10000</f>
        <v>21125.618377000003</v>
      </c>
      <c r="E11" s="5"/>
    </row>
    <row r="12" spans="2:5" ht="24" customHeight="1">
      <c r="B12" s="42"/>
      <c r="C12" s="11" t="s">
        <v>52</v>
      </c>
      <c r="D12" s="30">
        <f>741241995.13/10000</f>
        <v>74124.199513</v>
      </c>
      <c r="E12" s="5"/>
    </row>
    <row r="13" spans="2:5" ht="24" customHeight="1">
      <c r="B13" s="42"/>
      <c r="C13" s="11" t="s">
        <v>53</v>
      </c>
      <c r="D13" s="30">
        <f>336573593.91/10000</f>
        <v>33657.359391000005</v>
      </c>
      <c r="E13" s="5"/>
    </row>
    <row r="14" spans="2:5" ht="24" customHeight="1">
      <c r="B14" s="42"/>
      <c r="C14" s="11" t="s">
        <v>54</v>
      </c>
      <c r="D14" s="30">
        <f>307742243.87/10000</f>
        <v>30774.224387000002</v>
      </c>
      <c r="E14" s="5"/>
    </row>
    <row r="15" spans="2:5" ht="24" customHeight="1">
      <c r="B15" s="42"/>
      <c r="C15" s="11" t="s">
        <v>55</v>
      </c>
      <c r="D15" s="30">
        <f>297745220.13/10000</f>
        <v>29774.522012999998</v>
      </c>
      <c r="E15" s="5"/>
    </row>
    <row r="16" spans="2:5" ht="24" customHeight="1">
      <c r="B16" s="42"/>
      <c r="C16" s="16" t="s">
        <v>56</v>
      </c>
      <c r="D16" s="30">
        <f>116961487.28/10000</f>
        <v>11696.148728</v>
      </c>
      <c r="E16" s="5"/>
    </row>
    <row r="17" spans="2:6" ht="24" customHeight="1">
      <c r="B17" s="42"/>
      <c r="C17" s="16" t="s">
        <v>57</v>
      </c>
      <c r="D17" s="30">
        <f>166103922.95/10000</f>
        <v>16610.392294999998</v>
      </c>
      <c r="E17" s="5"/>
    </row>
    <row r="18" spans="2:6" ht="24" customHeight="1">
      <c r="B18" s="42"/>
      <c r="C18" s="16" t="s">
        <v>58</v>
      </c>
      <c r="D18" s="30">
        <f>294368570.73/10000</f>
        <v>29436.857073000003</v>
      </c>
      <c r="E18" s="5"/>
    </row>
    <row r="19" spans="2:6" ht="24" customHeight="1">
      <c r="B19" s="42"/>
      <c r="C19" s="16" t="s">
        <v>59</v>
      </c>
      <c r="D19" s="30">
        <f>42831575.34/10000</f>
        <v>4283.1575339999999</v>
      </c>
      <c r="E19" s="5"/>
    </row>
    <row r="20" spans="2:6" ht="24" customHeight="1">
      <c r="B20" s="42"/>
      <c r="C20" s="16" t="s">
        <v>60</v>
      </c>
      <c r="D20" s="30">
        <f>20591875.23/10000</f>
        <v>2059.1875230000001</v>
      </c>
      <c r="E20" s="5"/>
    </row>
    <row r="21" spans="2:6" ht="24" customHeight="1">
      <c r="B21" s="39"/>
      <c r="C21" s="10" t="s">
        <v>61</v>
      </c>
      <c r="D21" s="30">
        <f>3462064188.22/10000</f>
        <v>346206.41882199998</v>
      </c>
      <c r="E21" s="5"/>
    </row>
    <row r="22" spans="2:6" ht="24" customHeight="1">
      <c r="B22" s="38" t="s">
        <v>40</v>
      </c>
      <c r="C22" s="10" t="s">
        <v>62</v>
      </c>
      <c r="D22" s="30">
        <f>14112940.8/10000</f>
        <v>1411.2940800000001</v>
      </c>
      <c r="E22" s="5"/>
    </row>
    <row r="23" spans="2:6" ht="24" customHeight="1">
      <c r="B23" s="39"/>
      <c r="C23" s="13" t="s">
        <v>41</v>
      </c>
      <c r="D23" s="30">
        <f>14112940.8/10000</f>
        <v>1411.2940800000001</v>
      </c>
      <c r="E23" s="5"/>
    </row>
    <row r="24" spans="2:6" ht="24" customHeight="1">
      <c r="B24" s="37" t="s">
        <v>42</v>
      </c>
      <c r="C24" s="43"/>
      <c r="D24" s="30">
        <f>3476177129.02/10000</f>
        <v>347617.712902</v>
      </c>
      <c r="E24" s="5"/>
      <c r="F24" s="14"/>
    </row>
    <row r="25" spans="2:6" ht="20.100000000000001" customHeight="1">
      <c r="B25" s="8" t="s">
        <v>63</v>
      </c>
    </row>
    <row r="26" spans="2:6" ht="20.100000000000001" customHeight="1">
      <c r="B26" s="8" t="s">
        <v>64</v>
      </c>
    </row>
    <row r="27" spans="2:6" ht="20.100000000000001" customHeight="1">
      <c r="B27" s="8" t="s">
        <v>45</v>
      </c>
    </row>
    <row r="28" spans="2:6" ht="20.100000000000001" customHeight="1">
      <c r="B28" s="8" t="s">
        <v>65</v>
      </c>
    </row>
  </sheetData>
  <mergeCells count="8">
    <mergeCell ref="B24:C24"/>
    <mergeCell ref="B1:D4"/>
    <mergeCell ref="B5:D5"/>
    <mergeCell ref="B7:B8"/>
    <mergeCell ref="C7:C8"/>
    <mergeCell ref="D7:D8"/>
    <mergeCell ref="B9:B21"/>
    <mergeCell ref="B22:B23"/>
  </mergeCells>
  <phoneticPr fontId="6" type="noConversion"/>
  <pageMargins left="0.75" right="0.75" top="1" bottom="1" header="0.5" footer="0.5"/>
  <pageSetup paperSize="9" orientation="portrait" r:id="rId1"/>
  <headerFooter alignWithMargins="0">
    <oddFooter>&amp;L&amp;"Times New Roman,常规"&amp;9 10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30"/>
  <sheetViews>
    <sheetView workbookViewId="0">
      <selection sqref="A1:F3"/>
    </sheetView>
  </sheetViews>
  <sheetFormatPr defaultRowHeight="14.25"/>
  <cols>
    <col min="1" max="1" width="15" style="18" customWidth="1"/>
    <col min="2" max="2" width="13.5" customWidth="1"/>
    <col min="3" max="5" width="12.625" customWidth="1"/>
    <col min="6" max="6" width="14" customWidth="1"/>
  </cols>
  <sheetData>
    <row r="1" spans="1:7">
      <c r="A1" s="50" t="s">
        <v>98</v>
      </c>
      <c r="B1" s="50"/>
      <c r="C1" s="50"/>
      <c r="D1" s="50"/>
      <c r="E1" s="50"/>
      <c r="F1" s="51"/>
      <c r="G1" s="5"/>
    </row>
    <row r="2" spans="1:7">
      <c r="A2" s="52"/>
      <c r="B2" s="52"/>
      <c r="C2" s="52"/>
      <c r="D2" s="52"/>
      <c r="E2" s="52"/>
      <c r="F2" s="52"/>
      <c r="G2" s="5"/>
    </row>
    <row r="3" spans="1:7">
      <c r="A3" s="50"/>
      <c r="B3" s="50"/>
      <c r="C3" s="50"/>
      <c r="D3" s="50"/>
      <c r="E3" s="50"/>
      <c r="F3" s="51"/>
      <c r="G3" s="5"/>
    </row>
    <row r="4" spans="1:7">
      <c r="A4" s="35"/>
      <c r="B4" s="35"/>
      <c r="C4" s="35"/>
      <c r="D4" s="35"/>
      <c r="E4" s="35"/>
      <c r="F4" s="36"/>
      <c r="G4" s="5"/>
    </row>
    <row r="5" spans="1:7">
      <c r="A5" s="19"/>
      <c r="B5" s="15"/>
      <c r="C5" s="49"/>
      <c r="D5" s="49"/>
      <c r="E5" s="15"/>
      <c r="F5" s="34" t="s">
        <v>19</v>
      </c>
      <c r="G5" s="5"/>
    </row>
    <row r="6" spans="1:7" s="18" customFormat="1">
      <c r="A6" s="20" t="s">
        <v>66</v>
      </c>
      <c r="B6" s="23" t="s">
        <v>1</v>
      </c>
      <c r="C6" s="23" t="s">
        <v>67</v>
      </c>
      <c r="D6" s="23" t="s">
        <v>68</v>
      </c>
      <c r="E6" s="24" t="s">
        <v>69</v>
      </c>
      <c r="F6" s="20" t="s">
        <v>70</v>
      </c>
      <c r="G6" s="17"/>
    </row>
    <row r="7" spans="1:7">
      <c r="A7" s="21" t="s">
        <v>71</v>
      </c>
      <c r="B7" s="31">
        <f>4907125841.7/10000</f>
        <v>490712.58416999999</v>
      </c>
      <c r="C7" s="31">
        <f>B7-D7-E7-F7</f>
        <v>135040.94911499997</v>
      </c>
      <c r="D7" s="31">
        <f>2979360104.28/10000</f>
        <v>297936.01042800001</v>
      </c>
      <c r="E7" s="31">
        <f>85260765.46/10000</f>
        <v>8526.0765460000002</v>
      </c>
      <c r="F7" s="31">
        <f>492095480.81/10000</f>
        <v>49209.548081000001</v>
      </c>
      <c r="G7" s="5"/>
    </row>
    <row r="8" spans="1:7">
      <c r="A8" s="21" t="s">
        <v>72</v>
      </c>
      <c r="B8" s="31">
        <f>187685938.38/10000</f>
        <v>18768.593838000001</v>
      </c>
      <c r="C8" s="31">
        <f t="shared" ref="C8:C28" si="0">B8-D8-E8-F8</f>
        <v>18524.972302000002</v>
      </c>
      <c r="D8" s="31">
        <f>0/10000</f>
        <v>0</v>
      </c>
      <c r="E8" s="31">
        <f>2220946.92/10000</f>
        <v>222.09469199999998</v>
      </c>
      <c r="F8" s="31">
        <f>215268.44/10000</f>
        <v>21.526844000000001</v>
      </c>
      <c r="G8" s="5"/>
    </row>
    <row r="9" spans="1:7">
      <c r="A9" s="22" t="s">
        <v>73</v>
      </c>
      <c r="B9" s="31">
        <f>2957689921.1/10000</f>
        <v>295768.99210999999</v>
      </c>
      <c r="C9" s="31">
        <f t="shared" si="0"/>
        <v>69463.795579000012</v>
      </c>
      <c r="D9" s="31">
        <f>1769627763.82/10000</f>
        <v>176962.77638199998</v>
      </c>
      <c r="E9" s="31">
        <f>58357589.8/10000</f>
        <v>5835.7589799999996</v>
      </c>
      <c r="F9" s="31">
        <f>435066611.69/10000</f>
        <v>43506.661168999999</v>
      </c>
      <c r="G9" s="5"/>
    </row>
    <row r="10" spans="1:7">
      <c r="A10" s="22" t="s">
        <v>74</v>
      </c>
      <c r="B10" s="31">
        <f>619255239.45/10000</f>
        <v>61925.523945000008</v>
      </c>
      <c r="C10" s="31">
        <f t="shared" si="0"/>
        <v>22611.017770000006</v>
      </c>
      <c r="D10" s="31">
        <f>360221513.36/10000</f>
        <v>36022.151336000003</v>
      </c>
      <c r="E10" s="31">
        <f>10720066.32/10000</f>
        <v>1072.0066320000001</v>
      </c>
      <c r="F10" s="31">
        <f>22203482.07/10000</f>
        <v>2220.348207</v>
      </c>
      <c r="G10" s="5"/>
    </row>
    <row r="11" spans="1:7" s="28" customFormat="1">
      <c r="A11" s="22" t="s">
        <v>75</v>
      </c>
      <c r="B11" s="32">
        <f>2295450.22/10000+0/10000+0/10000</f>
        <v>229.54502200000002</v>
      </c>
      <c r="C11" s="31">
        <f t="shared" si="0"/>
        <v>209.43394400000003</v>
      </c>
      <c r="D11" s="32">
        <f>0/10000+0/10000+0/10000</f>
        <v>0</v>
      </c>
      <c r="E11" s="32">
        <f>141004.05/10000+0/10000+0/10000</f>
        <v>14.100404999999999</v>
      </c>
      <c r="F11" s="32">
        <f>60106.73/10000+0/10000+0/10000</f>
        <v>6.0106730000000006</v>
      </c>
      <c r="G11" s="27"/>
    </row>
    <row r="12" spans="1:7">
      <c r="A12" s="22" t="s">
        <v>76</v>
      </c>
      <c r="B12" s="31">
        <f>18567855.02/10000</f>
        <v>1856.785502</v>
      </c>
      <c r="C12" s="31">
        <f t="shared" si="0"/>
        <v>530.25811899999985</v>
      </c>
      <c r="D12" s="31">
        <f>12613141.38/10000</f>
        <v>1261.3141380000002</v>
      </c>
      <c r="E12" s="31">
        <f>233268.78/10000</f>
        <v>23.326878000000001</v>
      </c>
      <c r="F12" s="31">
        <f>418863.67/10000</f>
        <v>41.886367</v>
      </c>
      <c r="G12" s="5"/>
    </row>
    <row r="13" spans="1:7">
      <c r="A13" s="22" t="s">
        <v>77</v>
      </c>
      <c r="B13" s="31">
        <f>162831160.97/10000</f>
        <v>16283.116097</v>
      </c>
      <c r="C13" s="31">
        <f t="shared" si="0"/>
        <v>3524.9372469999998</v>
      </c>
      <c r="D13" s="31">
        <f>119855025.65/10000</f>
        <v>11985.502565000001</v>
      </c>
      <c r="E13" s="31">
        <f>1836193.04/10000</f>
        <v>183.619304</v>
      </c>
      <c r="F13" s="31">
        <f>5890569.81/10000</f>
        <v>589.05698099999995</v>
      </c>
      <c r="G13" s="5"/>
    </row>
    <row r="14" spans="1:7">
      <c r="A14" s="22" t="s">
        <v>78</v>
      </c>
      <c r="B14" s="31">
        <f>195833641.87/10000</f>
        <v>19583.364186999999</v>
      </c>
      <c r="C14" s="31">
        <f t="shared" si="0"/>
        <v>3350.2947859999995</v>
      </c>
      <c r="D14" s="31">
        <f>155620342.1/10000</f>
        <v>15562.03421</v>
      </c>
      <c r="E14" s="31">
        <f>1842985.46/10000</f>
        <v>184.29854599999999</v>
      </c>
      <c r="F14" s="31">
        <f>4867366.45/10000</f>
        <v>486.73664500000001</v>
      </c>
      <c r="G14" s="5"/>
    </row>
    <row r="15" spans="1:7">
      <c r="A15" s="22" t="s">
        <v>79</v>
      </c>
      <c r="B15" s="31">
        <f>194694670.53/10000</f>
        <v>19469.467053</v>
      </c>
      <c r="C15" s="31">
        <f t="shared" si="0"/>
        <v>2586.4264240000011</v>
      </c>
      <c r="D15" s="31">
        <f>160862817.53/10000</f>
        <v>16086.281752999999</v>
      </c>
      <c r="E15" s="31">
        <f>2091336.34/10000</f>
        <v>209.133634</v>
      </c>
      <c r="F15" s="31">
        <f>5876252.42/10000</f>
        <v>587.62524199999996</v>
      </c>
      <c r="G15" s="5"/>
    </row>
    <row r="16" spans="1:7">
      <c r="A16" s="22" t="s">
        <v>80</v>
      </c>
      <c r="B16" s="31">
        <f>112838308.14/10000</f>
        <v>11283.830814000001</v>
      </c>
      <c r="C16" s="31">
        <f t="shared" si="0"/>
        <v>2055.8492740000011</v>
      </c>
      <c r="D16" s="31">
        <f>87303377.64/10000</f>
        <v>8730.3377639999999</v>
      </c>
      <c r="E16" s="31">
        <f>1026690.1/10000</f>
        <v>102.66901</v>
      </c>
      <c r="F16" s="31">
        <f>3949747.66/10000</f>
        <v>394.97476599999999</v>
      </c>
      <c r="G16" s="5"/>
    </row>
    <row r="17" spans="1:7">
      <c r="A17" s="22" t="s">
        <v>81</v>
      </c>
      <c r="B17" s="31">
        <f>42729551.03/10000</f>
        <v>4272.9551030000002</v>
      </c>
      <c r="C17" s="31">
        <f t="shared" si="0"/>
        <v>1810.5780510000004</v>
      </c>
      <c r="D17" s="31">
        <f>22653409.54/10000</f>
        <v>2265.3409539999998</v>
      </c>
      <c r="E17" s="31">
        <f>867946.44/10000</f>
        <v>86.794643999999991</v>
      </c>
      <c r="F17" s="31">
        <f>1102414.54/10000</f>
        <v>110.241454</v>
      </c>
      <c r="G17" s="5"/>
    </row>
    <row r="18" spans="1:7">
      <c r="A18" s="22" t="s">
        <v>82</v>
      </c>
      <c r="B18" s="31">
        <f>29474125.97/10000</f>
        <v>2947.412597</v>
      </c>
      <c r="C18" s="31">
        <f t="shared" si="0"/>
        <v>574.14854500000024</v>
      </c>
      <c r="D18" s="31">
        <f>22450505.63/10000</f>
        <v>2245.0505629999998</v>
      </c>
      <c r="E18" s="31">
        <f>583201.2/10000</f>
        <v>58.320119999999996</v>
      </c>
      <c r="F18" s="31">
        <f>698933.69/10000</f>
        <v>69.893368999999993</v>
      </c>
      <c r="G18" s="5"/>
    </row>
    <row r="19" spans="1:7">
      <c r="A19" s="22" t="s">
        <v>83</v>
      </c>
      <c r="B19" s="31">
        <f>32375810.92/10000</f>
        <v>3237.5810920000004</v>
      </c>
      <c r="C19" s="31">
        <f t="shared" si="0"/>
        <v>548.61987100000033</v>
      </c>
      <c r="D19" s="31">
        <f>25587737.6/10000</f>
        <v>2558.77376</v>
      </c>
      <c r="E19" s="31">
        <f>355776.85/10000</f>
        <v>35.577684999999995</v>
      </c>
      <c r="F19" s="31">
        <f>946097.76/10000</f>
        <v>94.609775999999997</v>
      </c>
      <c r="G19" s="5"/>
    </row>
    <row r="20" spans="1:7">
      <c r="A20" s="22" t="s">
        <v>84</v>
      </c>
      <c r="B20" s="31">
        <f>54652009.6/10000</f>
        <v>5465.2009600000001</v>
      </c>
      <c r="C20" s="31">
        <f t="shared" si="0"/>
        <v>2019.4396709999999</v>
      </c>
      <c r="D20" s="31">
        <f>33004618.35/10000</f>
        <v>3300.4618350000001</v>
      </c>
      <c r="E20" s="31">
        <f>393347.21/10000</f>
        <v>39.334721000000002</v>
      </c>
      <c r="F20" s="31">
        <f>1059647.33/10000</f>
        <v>105.96473300000001</v>
      </c>
      <c r="G20" s="5"/>
    </row>
    <row r="21" spans="1:7">
      <c r="A21" s="22" t="s">
        <v>85</v>
      </c>
      <c r="B21" s="31">
        <f>40287832.98/10000</f>
        <v>4028.7832979999998</v>
      </c>
      <c r="C21" s="31">
        <f t="shared" si="0"/>
        <v>822.77916300000015</v>
      </c>
      <c r="D21" s="31">
        <f>30134960.74/10000</f>
        <v>3013.4960739999997</v>
      </c>
      <c r="E21" s="31">
        <f>495582.5/10000</f>
        <v>49.558250000000001</v>
      </c>
      <c r="F21" s="31">
        <f>1429498.11/10000</f>
        <v>142.94981100000001</v>
      </c>
      <c r="G21" s="5"/>
    </row>
    <row r="22" spans="1:7">
      <c r="A22" s="22" t="s">
        <v>86</v>
      </c>
      <c r="B22" s="31">
        <f>12504533.6/10000</f>
        <v>1250.45336</v>
      </c>
      <c r="C22" s="31">
        <f t="shared" si="0"/>
        <v>359.63146599999999</v>
      </c>
      <c r="D22" s="31">
        <f>8512438.74/10000</f>
        <v>851.24387400000001</v>
      </c>
      <c r="E22" s="31">
        <f>132503.86/10000</f>
        <v>13.250385999999999</v>
      </c>
      <c r="F22" s="31">
        <f>263276.34/10000</f>
        <v>26.327634000000003</v>
      </c>
      <c r="G22" s="5"/>
    </row>
    <row r="23" spans="1:7">
      <c r="A23" s="22" t="s">
        <v>87</v>
      </c>
      <c r="B23" s="31">
        <f>42307716.43/10000</f>
        <v>4230.771643</v>
      </c>
      <c r="C23" s="31">
        <f t="shared" si="0"/>
        <v>1178.5626180000004</v>
      </c>
      <c r="D23" s="31">
        <f>28283679.9/10000</f>
        <v>2828.3679899999997</v>
      </c>
      <c r="E23" s="31">
        <f>772828.96/10000</f>
        <v>77.282895999999994</v>
      </c>
      <c r="F23" s="31">
        <f>1465581.39/10000</f>
        <v>146.55813899999998</v>
      </c>
      <c r="G23" s="5"/>
    </row>
    <row r="24" spans="1:7">
      <c r="A24" s="22" t="s">
        <v>88</v>
      </c>
      <c r="B24" s="31">
        <f>35802763.97/10000</f>
        <v>3580.2763970000001</v>
      </c>
      <c r="C24" s="31">
        <f t="shared" si="0"/>
        <v>574.2242389999999</v>
      </c>
      <c r="D24" s="31">
        <f>28072360.37/10000</f>
        <v>2807.2360370000001</v>
      </c>
      <c r="E24" s="31">
        <f>693550/10000</f>
        <v>69.355000000000004</v>
      </c>
      <c r="F24" s="31">
        <f>1294611.21/10000</f>
        <v>129.46112099999999</v>
      </c>
      <c r="G24" s="5"/>
    </row>
    <row r="25" spans="1:7">
      <c r="A25" s="22" t="s">
        <v>89</v>
      </c>
      <c r="B25" s="31">
        <f>60036807.14/10000</f>
        <v>6003.6807140000001</v>
      </c>
      <c r="C25" s="31">
        <f t="shared" si="0"/>
        <v>1161.6424080000004</v>
      </c>
      <c r="D25" s="31">
        <f>46179558.29/10000</f>
        <v>4617.9558289999995</v>
      </c>
      <c r="E25" s="31">
        <f>571328.02/10000</f>
        <v>57.132802000000005</v>
      </c>
      <c r="F25" s="31">
        <f>1669496.75/10000</f>
        <v>166.94967500000001</v>
      </c>
      <c r="G25" s="5"/>
    </row>
    <row r="26" spans="1:7" ht="14.25" customHeight="1">
      <c r="A26" s="22" t="s">
        <v>90</v>
      </c>
      <c r="B26" s="31">
        <f>40901322.19/10000</f>
        <v>4090.1322189999996</v>
      </c>
      <c r="C26" s="31">
        <f t="shared" si="0"/>
        <v>310.09912299999962</v>
      </c>
      <c r="D26" s="31">
        <f>35595152.49/10000</f>
        <v>3559.515249</v>
      </c>
      <c r="E26" s="31">
        <f>623046.01/10000</f>
        <v>62.304600999999998</v>
      </c>
      <c r="F26" s="31">
        <f>1582132.46/10000</f>
        <v>158.213246</v>
      </c>
      <c r="G26" s="5"/>
    </row>
    <row r="27" spans="1:7" ht="14.25" customHeight="1">
      <c r="A27" s="22" t="s">
        <v>91</v>
      </c>
      <c r="B27" s="31">
        <f>31450656.15/10000</f>
        <v>3145.065615</v>
      </c>
      <c r="C27" s="31">
        <f t="shared" si="0"/>
        <v>604.82819599999971</v>
      </c>
      <c r="D27" s="31">
        <f>23704732.64/10000</f>
        <v>2370.4732640000002</v>
      </c>
      <c r="E27" s="31">
        <f>530854.42/10000</f>
        <v>53.085442000000008</v>
      </c>
      <c r="F27" s="31">
        <f>1166787.13/10000</f>
        <v>116.67871299999999</v>
      </c>
      <c r="G27" s="5"/>
    </row>
    <row r="28" spans="1:7">
      <c r="A28" s="22" t="s">
        <v>92</v>
      </c>
      <c r="B28" s="31">
        <f>32910526.04/10000</f>
        <v>3291.052604</v>
      </c>
      <c r="C28" s="31">
        <f t="shared" si="0"/>
        <v>2219.4103189999996</v>
      </c>
      <c r="D28" s="31">
        <f>9076968.51/10000</f>
        <v>907.69685099999992</v>
      </c>
      <c r="E28" s="31">
        <f>770719.18/10000</f>
        <v>77.071918000000011</v>
      </c>
      <c r="F28" s="31">
        <f>868735.16/10000</f>
        <v>86.873516000000009</v>
      </c>
      <c r="G28" s="5"/>
    </row>
    <row r="29" spans="1:7">
      <c r="A29" s="48" t="s">
        <v>93</v>
      </c>
      <c r="B29" s="48"/>
      <c r="C29" s="48"/>
      <c r="D29" s="48"/>
      <c r="E29" s="48"/>
      <c r="F29" s="48"/>
      <c r="G29" s="5"/>
    </row>
    <row r="30" spans="1:7">
      <c r="A30" s="8" t="s">
        <v>94</v>
      </c>
    </row>
  </sheetData>
  <mergeCells count="4">
    <mergeCell ref="A29:F29"/>
    <mergeCell ref="A1:F3"/>
    <mergeCell ref="A4:F4"/>
    <mergeCell ref="C5:D5"/>
  </mergeCells>
  <phoneticPr fontId="6" type="noConversion"/>
  <pageMargins left="0.75" right="0.75" top="1" bottom="1" header="0.5" footer="0.5"/>
  <pageSetup paperSize="9" orientation="portrait" r:id="rId1"/>
  <headerFooter alignWithMargins="0">
    <oddFooter>&amp;R&amp;"Times New Roman,常规"&amp;9 11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命名范围</vt:lpstr>
      </vt:variant>
      <vt:variant>
        <vt:i4>1</vt:i4>
      </vt:variant>
    </vt:vector>
  </HeadingPairs>
  <TitlesOfParts>
    <vt:vector size="5" baseType="lpstr">
      <vt:lpstr>保险业经营数据</vt:lpstr>
      <vt:lpstr>产险公司数据</vt:lpstr>
      <vt:lpstr>寿险公司数据</vt:lpstr>
      <vt:lpstr>各地区数据</vt:lpstr>
      <vt:lpstr>保险业经营数据!Print_Area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</dc:creator>
  <cp:lastModifiedBy>李抒怡</cp:lastModifiedBy>
  <cp:lastPrinted>2007-04-11T06:10:41Z</cp:lastPrinted>
  <dcterms:created xsi:type="dcterms:W3CDTF">2007-03-03T07:28:37Z</dcterms:created>
  <dcterms:modified xsi:type="dcterms:W3CDTF">2016-04-13T00:54:30Z</dcterms:modified>
</cp:coreProperties>
</file>