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120" windowHeight="9120"/>
  </bookViews>
  <sheets>
    <sheet name="保险业经营数据" sheetId="6" r:id="rId1"/>
    <sheet name="产险公司数据" sheetId="5" r:id="rId2"/>
    <sheet name="寿险公司数据" sheetId="8" r:id="rId3"/>
    <sheet name="各地区数据" sheetId="9" r:id="rId4"/>
  </sheets>
  <definedNames>
    <definedName name="_xlnm.Print_Area" localSheetId="0">保险业经营数据!$A$1:$C$24</definedName>
  </definedNames>
  <calcPr calcId="124519"/>
</workbook>
</file>

<file path=xl/calcChain.xml><?xml version="1.0" encoding="utf-8"?>
<calcChain xmlns="http://schemas.openxmlformats.org/spreadsheetml/2006/main">
  <c r="F28" i="9"/>
  <c r="E28"/>
  <c r="D28"/>
  <c r="B28"/>
  <c r="F27"/>
  <c r="E27"/>
  <c r="D27"/>
  <c r="B27"/>
  <c r="F26"/>
  <c r="E26"/>
  <c r="D26"/>
  <c r="B26"/>
  <c r="F25"/>
  <c r="E25"/>
  <c r="D25"/>
  <c r="B25"/>
  <c r="F24"/>
  <c r="E24"/>
  <c r="D24"/>
  <c r="B24"/>
  <c r="F23"/>
  <c r="E23"/>
  <c r="D23"/>
  <c r="B23"/>
  <c r="F22"/>
  <c r="E22"/>
  <c r="D22"/>
  <c r="B22"/>
  <c r="F21"/>
  <c r="E21"/>
  <c r="D21"/>
  <c r="B21"/>
  <c r="F20"/>
  <c r="E20"/>
  <c r="D20"/>
  <c r="B20"/>
  <c r="F19"/>
  <c r="E19"/>
  <c r="D19"/>
  <c r="B19"/>
  <c r="F18"/>
  <c r="E18"/>
  <c r="D18"/>
  <c r="B18"/>
  <c r="F17"/>
  <c r="C17" s="1"/>
  <c r="E17"/>
  <c r="D17"/>
  <c r="B17"/>
  <c r="F16"/>
  <c r="E16"/>
  <c r="D16"/>
  <c r="B16"/>
  <c r="F15"/>
  <c r="E15"/>
  <c r="D15"/>
  <c r="B15"/>
  <c r="F14"/>
  <c r="E14"/>
  <c r="D14"/>
  <c r="B14"/>
  <c r="F13"/>
  <c r="E13"/>
  <c r="D13"/>
  <c r="B13"/>
  <c r="F12"/>
  <c r="E12"/>
  <c r="D12"/>
  <c r="B12"/>
  <c r="F11"/>
  <c r="E11"/>
  <c r="D11"/>
  <c r="B11"/>
  <c r="F10"/>
  <c r="E10"/>
  <c r="D10"/>
  <c r="B10"/>
  <c r="F9"/>
  <c r="E9"/>
  <c r="D9"/>
  <c r="B9"/>
  <c r="F8"/>
  <c r="E8"/>
  <c r="D8"/>
  <c r="B8"/>
  <c r="F7"/>
  <c r="E7"/>
  <c r="D7"/>
  <c r="B7"/>
  <c r="D24" i="8"/>
  <c r="D23"/>
  <c r="D22"/>
  <c r="D21"/>
  <c r="D20"/>
  <c r="D19"/>
  <c r="D18"/>
  <c r="D17"/>
  <c r="D16"/>
  <c r="D15"/>
  <c r="D14"/>
  <c r="D13"/>
  <c r="D12"/>
  <c r="D11"/>
  <c r="D10"/>
  <c r="D9"/>
  <c r="D24" i="5"/>
  <c r="D23"/>
  <c r="D22"/>
  <c r="D21"/>
  <c r="D20"/>
  <c r="D19"/>
  <c r="D18"/>
  <c r="D17"/>
  <c r="D16"/>
  <c r="D15"/>
  <c r="D14"/>
  <c r="D13"/>
  <c r="D12"/>
  <c r="D11"/>
  <c r="D10"/>
  <c r="D9"/>
  <c r="D8"/>
  <c r="C18" i="6"/>
  <c r="C17"/>
  <c r="C16"/>
  <c r="C15"/>
  <c r="C14"/>
  <c r="C13"/>
  <c r="C12"/>
  <c r="C11"/>
  <c r="C10"/>
  <c r="C9"/>
  <c r="C8"/>
  <c r="C7"/>
  <c r="C28" i="9" l="1"/>
  <c r="C27"/>
  <c r="C26"/>
  <c r="C25"/>
  <c r="C24"/>
  <c r="C23"/>
  <c r="C22"/>
  <c r="C21"/>
  <c r="C20"/>
  <c r="C19"/>
  <c r="C18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<sst xmlns="http://schemas.openxmlformats.org/spreadsheetml/2006/main" count="107" uniqueCount="99">
  <si>
    <t>单位:万元</t>
    <phoneticPr fontId="6" type="noConversion"/>
  </si>
  <si>
    <t>原保险保费收入</t>
    <phoneticPr fontId="6" type="noConversion"/>
  </si>
  <si>
    <t xml:space="preserve">    1、财产险</t>
    <phoneticPr fontId="6" type="noConversion"/>
  </si>
  <si>
    <t xml:space="preserve">    2、人身险</t>
    <phoneticPr fontId="6" type="noConversion"/>
  </si>
  <si>
    <t xml:space="preserve">    （1）人身意外伤害险</t>
    <phoneticPr fontId="6" type="noConversion"/>
  </si>
  <si>
    <t xml:space="preserve">    （2）健康险</t>
    <phoneticPr fontId="6" type="noConversion"/>
  </si>
  <si>
    <t xml:space="preserve">    （3）寿险</t>
    <phoneticPr fontId="6" type="noConversion"/>
  </si>
  <si>
    <t>原保险赔付支出</t>
    <phoneticPr fontId="6" type="noConversion"/>
  </si>
  <si>
    <t xml:space="preserve">   1、财产险</t>
    <phoneticPr fontId="6" type="noConversion"/>
  </si>
  <si>
    <t xml:space="preserve">   2、人身险</t>
    <phoneticPr fontId="6" type="noConversion"/>
  </si>
  <si>
    <t xml:space="preserve">   （1）人身意外伤害险</t>
    <phoneticPr fontId="6" type="noConversion"/>
  </si>
  <si>
    <t xml:space="preserve">   （2）健康险</t>
    <phoneticPr fontId="6" type="noConversion"/>
  </si>
  <si>
    <t xml:space="preserve">   （3）寿险</t>
    <phoneticPr fontId="6" type="noConversion"/>
  </si>
  <si>
    <t>注：1、“原保险保费收入”为按《企业会计准则（2006）》设置的统计指标，指保险企业确认</t>
    <phoneticPr fontId="6" type="noConversion"/>
  </si>
  <si>
    <t xml:space="preserve">       的原保险合同保费收入。</t>
    <phoneticPr fontId="6" type="noConversion"/>
  </si>
  <si>
    <t xml:space="preserve">    2、“原保险赔付支出”为按《企业会计准则（2006）》设置的统计指标，指保险企业支付</t>
    <phoneticPr fontId="6" type="noConversion"/>
  </si>
  <si>
    <t xml:space="preserve">       的原保险合同赔付款项。</t>
    <phoneticPr fontId="6" type="noConversion"/>
  </si>
  <si>
    <t xml:space="preserve">    3、原保险保费收入、原保险赔付支出为本年累计数。</t>
    <phoneticPr fontId="6" type="noConversion"/>
  </si>
  <si>
    <t xml:space="preserve">    4、上述数据来源于各公司报送的保险数据，未经审计。</t>
    <phoneticPr fontId="6" type="noConversion"/>
  </si>
  <si>
    <t>单位：万元</t>
    <phoneticPr fontId="6" type="noConversion"/>
  </si>
  <si>
    <t>资本结构</t>
    <phoneticPr fontId="6" type="noConversion"/>
  </si>
  <si>
    <t>资本结构</t>
    <phoneticPr fontId="6" type="noConversion"/>
  </si>
  <si>
    <t>公司名称</t>
    <phoneticPr fontId="6" type="noConversion"/>
  </si>
  <si>
    <t>原保险保费收入</t>
    <phoneticPr fontId="6" type="noConversion"/>
  </si>
  <si>
    <t>中资</t>
    <phoneticPr fontId="6" type="noConversion"/>
  </si>
  <si>
    <t>中国人民财产保险股份有限公司海南省分公司</t>
    <phoneticPr fontId="6" type="noConversion"/>
  </si>
  <si>
    <t>中国太平洋财产保险股份有限公司海南分公司</t>
    <phoneticPr fontId="6" type="noConversion"/>
  </si>
  <si>
    <t>中国平安财产保险股份有限公司海南分公司</t>
    <phoneticPr fontId="6" type="noConversion"/>
  </si>
  <si>
    <t>天安财产保险股份有限公司海南省分公司</t>
    <phoneticPr fontId="6" type="noConversion"/>
  </si>
  <si>
    <t>亚太财产保险有限公司海南分公司</t>
    <phoneticPr fontId="6" type="noConversion"/>
  </si>
  <si>
    <t>安邦财产保险股份有限公司海南分公司</t>
    <phoneticPr fontId="6" type="noConversion"/>
  </si>
  <si>
    <t>阳光财产保险股份有限公司海南省分公司</t>
    <phoneticPr fontId="6" type="noConversion"/>
  </si>
  <si>
    <t>中国大地财产保险股份有限公司海南分公司</t>
    <phoneticPr fontId="6" type="noConversion"/>
  </si>
  <si>
    <t>鼎和财产保险股份有限公司海南分公司</t>
    <phoneticPr fontId="6" type="noConversion"/>
  </si>
  <si>
    <t>中国人寿财产保险股份有限公司海南省分公司</t>
    <phoneticPr fontId="6" type="noConversion"/>
  </si>
  <si>
    <t>永诚财产保险股份有限公司海南分公司</t>
    <phoneticPr fontId="6" type="noConversion"/>
  </si>
  <si>
    <t>华安财产保险股份有限公司海南分公司</t>
    <phoneticPr fontId="6" type="noConversion"/>
  </si>
  <si>
    <t>众安在线财产保险股份有限公司海南省分公司（虚拟）</t>
    <phoneticPr fontId="6" type="noConversion"/>
  </si>
  <si>
    <t>泰康在线财产保险股份有限公司海南省分公司（虚拟）</t>
    <phoneticPr fontId="6" type="noConversion"/>
  </si>
  <si>
    <t>小计</t>
    <phoneticPr fontId="6" type="noConversion"/>
  </si>
  <si>
    <t>外资</t>
    <phoneticPr fontId="6" type="noConversion"/>
  </si>
  <si>
    <t>小计</t>
    <phoneticPr fontId="6" type="noConversion"/>
  </si>
  <si>
    <t>合计</t>
    <phoneticPr fontId="6" type="noConversion"/>
  </si>
  <si>
    <t>注：1.原保险保费收入为本年累计数，数据来源于各产险公司报送保监会月报数据。</t>
    <phoneticPr fontId="6" type="noConversion"/>
  </si>
  <si>
    <t xml:space="preserve">    2.原保险保费收入为各产险公司内部管理报表数据，未经审计，各产险公司不</t>
    <phoneticPr fontId="6" type="noConversion"/>
  </si>
  <si>
    <t xml:space="preserve">      对该数据的用途及由此带来的后果承担任何法律责任。</t>
    <phoneticPr fontId="6" type="noConversion"/>
  </si>
  <si>
    <t xml:space="preserve">    3.由于计算的四舍五入问题，各产险公司原保险保费收入可能存在细微的误差。</t>
    <phoneticPr fontId="6" type="noConversion"/>
  </si>
  <si>
    <t>公司名称</t>
    <phoneticPr fontId="6" type="noConversion"/>
  </si>
  <si>
    <t>中资</t>
    <phoneticPr fontId="6" type="noConversion"/>
  </si>
  <si>
    <t>中国人寿保险股份有限公司海南省分公司</t>
    <phoneticPr fontId="6" type="noConversion"/>
  </si>
  <si>
    <t>国寿集团存续业务海南省分公司</t>
    <phoneticPr fontId="6" type="noConversion"/>
  </si>
  <si>
    <t>中国太平洋人寿保险股份有限公司海南分公司</t>
    <phoneticPr fontId="6" type="noConversion"/>
  </si>
  <si>
    <t>中国平安人寿保险股份有限公司海南分公司</t>
    <phoneticPr fontId="6" type="noConversion"/>
  </si>
  <si>
    <t>新华人寿保险股份有限公司海南分公司</t>
    <phoneticPr fontId="6" type="noConversion"/>
  </si>
  <si>
    <t>中国人民人寿保险股份有限公司海南省分公司</t>
    <phoneticPr fontId="6" type="noConversion"/>
  </si>
  <si>
    <t>生命人寿保险股份有限公司海南分公司</t>
    <phoneticPr fontId="6" type="noConversion"/>
  </si>
  <si>
    <t>平安养老保险股份有限公司海南分公司</t>
    <phoneticPr fontId="6" type="noConversion"/>
  </si>
  <si>
    <t>太平人寿保险有限公司海南分公司</t>
    <phoneticPr fontId="6" type="noConversion"/>
  </si>
  <si>
    <t>泰康人寿保险股份有限公司海南分公司</t>
    <phoneticPr fontId="6" type="noConversion"/>
  </si>
  <si>
    <t>阳光人寿保险股份有限公司海南省分公司</t>
    <phoneticPr fontId="6" type="noConversion"/>
  </si>
  <si>
    <t>华夏人寿保险股份有限公司海南分公司</t>
    <phoneticPr fontId="6" type="noConversion"/>
  </si>
  <si>
    <t>小           计</t>
    <phoneticPr fontId="6" type="noConversion"/>
  </si>
  <si>
    <t>新光海航人寿保险有限责任公司海南省分公司</t>
    <phoneticPr fontId="6" type="noConversion"/>
  </si>
  <si>
    <t>注：1.原保险保费收入为本年累计数，数据来源于各寿险公司报送保监会月报数据。</t>
    <phoneticPr fontId="6" type="noConversion"/>
  </si>
  <si>
    <t xml:space="preserve">    2.原保险保费收入为各寿险公司内部管理报表数据，未经审计，各寿险公司不</t>
    <phoneticPr fontId="6" type="noConversion"/>
  </si>
  <si>
    <t xml:space="preserve">    3.由于计算的四舍五入问题，各寿险公司原保险保费收入可能存在细微的误差。</t>
    <phoneticPr fontId="6" type="noConversion"/>
  </si>
  <si>
    <t>地区</t>
    <phoneticPr fontId="6" type="noConversion"/>
  </si>
  <si>
    <t>财产保险</t>
    <phoneticPr fontId="6" type="noConversion"/>
  </si>
  <si>
    <t>寿险</t>
    <phoneticPr fontId="6" type="noConversion"/>
  </si>
  <si>
    <t>意外险</t>
    <phoneticPr fontId="6" type="noConversion"/>
  </si>
  <si>
    <t>健康险</t>
    <phoneticPr fontId="6" type="noConversion"/>
  </si>
  <si>
    <t>辖区合计</t>
    <phoneticPr fontId="6" type="noConversion"/>
  </si>
  <si>
    <t>省公司本级</t>
    <phoneticPr fontId="6" type="noConversion"/>
  </si>
  <si>
    <t>海口市</t>
    <phoneticPr fontId="6" type="noConversion"/>
  </si>
  <si>
    <t>三亚市</t>
    <phoneticPr fontId="6" type="noConversion"/>
  </si>
  <si>
    <t>三沙市</t>
    <phoneticPr fontId="6" type="noConversion"/>
  </si>
  <si>
    <t>五指山市</t>
    <phoneticPr fontId="6" type="noConversion"/>
  </si>
  <si>
    <t>琼海市</t>
    <phoneticPr fontId="6" type="noConversion"/>
  </si>
  <si>
    <t>儋州市</t>
    <phoneticPr fontId="6" type="noConversion"/>
  </si>
  <si>
    <t>文昌市</t>
    <phoneticPr fontId="6" type="noConversion"/>
  </si>
  <si>
    <t>万宁市</t>
    <phoneticPr fontId="6" type="noConversion"/>
  </si>
  <si>
    <t>东方市</t>
    <phoneticPr fontId="6" type="noConversion"/>
  </si>
  <si>
    <t>定安县</t>
    <phoneticPr fontId="6" type="noConversion"/>
  </si>
  <si>
    <t>屯昌县</t>
    <phoneticPr fontId="6" type="noConversion"/>
  </si>
  <si>
    <t>澄迈县</t>
    <phoneticPr fontId="6" type="noConversion"/>
  </si>
  <si>
    <t>临高县</t>
    <phoneticPr fontId="6" type="noConversion"/>
  </si>
  <si>
    <t>白沙黎族自治县</t>
    <phoneticPr fontId="6" type="noConversion"/>
  </si>
  <si>
    <t>昌江黎族自治县</t>
    <phoneticPr fontId="6" type="noConversion"/>
  </si>
  <si>
    <t>乐东黎族自治县</t>
    <phoneticPr fontId="6" type="noConversion"/>
  </si>
  <si>
    <t>陵水黎族自治县</t>
    <phoneticPr fontId="6" type="noConversion"/>
  </si>
  <si>
    <t>保亭黎苗族自治县</t>
    <phoneticPr fontId="6" type="noConversion"/>
  </si>
  <si>
    <t>琼中黎苗族自治县</t>
    <phoneticPr fontId="6" type="noConversion"/>
  </si>
  <si>
    <t>洋浦开发区</t>
    <phoneticPr fontId="6" type="noConversion"/>
  </si>
  <si>
    <t>注：1、全部数值均为本年累计值。</t>
    <phoneticPr fontId="6" type="noConversion"/>
  </si>
  <si>
    <t xml:space="preserve">    2、上述数据来源于各公司报送的保险数据，未经审计。</t>
    <phoneticPr fontId="6" type="noConversion"/>
  </si>
  <si>
    <t>表 1    2016年10月保险业经营数据</t>
    <phoneticPr fontId="6" type="noConversion"/>
  </si>
  <si>
    <t>表 2  2016年10月财产保险公司原保险保费收入情况表</t>
    <phoneticPr fontId="6" type="noConversion"/>
  </si>
  <si>
    <t>表 3  2016年10月人身保险公司原保险保费收入情况表</t>
    <phoneticPr fontId="6" type="noConversion"/>
  </si>
  <si>
    <t>表 4  2016年10月海南辖区各市县原保险保费收入情况表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</si>
</sst>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0.00"/>
  </numFmts>
  <fonts count="14">
    <font>
      <sz val="12"/>
      <name val="宋体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color indexed="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9" fillId="0" borderId="0">
      <alignment horizontal="left" vertical="center"/>
    </xf>
    <xf numFmtId="0" fontId="9" fillId="0" borderId="0">
      <alignment horizontal="left" vertical="center"/>
    </xf>
    <xf numFmtId="0" fontId="11" fillId="0" borderId="0">
      <alignment vertical="center"/>
    </xf>
    <xf numFmtId="0" fontId="9" fillId="0" borderId="0">
      <alignment horizontal="left" vertical="center"/>
    </xf>
    <xf numFmtId="0" fontId="10" fillId="0" borderId="0"/>
  </cellStyleXfs>
  <cellXfs count="53">
    <xf numFmtId="0" fontId="0" fillId="0" borderId="0" xfId="0"/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4" fillId="2" borderId="1" xfId="0" applyFont="1" applyFill="1" applyBorder="1" applyAlignment="1">
      <alignment horizontal="left" wrapText="1" indent="2"/>
    </xf>
    <xf numFmtId="0" fontId="0" fillId="0" borderId="0" xfId="0" applyBorder="1"/>
    <xf numFmtId="0" fontId="4" fillId="2" borderId="0" xfId="0" applyFont="1" applyFill="1" applyBorder="1" applyAlignment="1">
      <alignment horizontal="left" wrapText="1" indent="3"/>
    </xf>
    <xf numFmtId="0" fontId="4" fillId="2" borderId="2" xfId="0" applyFont="1" applyFill="1" applyBorder="1" applyAlignment="1">
      <alignment horizontal="left" vertical="center" wrapText="1" indent="2"/>
    </xf>
    <xf numFmtId="0" fontId="7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57" fontId="4" fillId="2" borderId="0" xfId="0" applyNumberFormat="1" applyFont="1" applyFill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176" fontId="0" fillId="0" borderId="0" xfId="0" applyNumberFormat="1"/>
    <xf numFmtId="0" fontId="4" fillId="2" borderId="0" xfId="0" applyFont="1" applyFill="1" applyAlignment="1">
      <alignment wrapText="1"/>
    </xf>
    <xf numFmtId="0" fontId="7" fillId="0" borderId="2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 indent="1"/>
    </xf>
    <xf numFmtId="0" fontId="5" fillId="0" borderId="3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176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177" fontId="12" fillId="0" borderId="16" xfId="4" applyNumberFormat="1" applyFont="1" applyFill="1" applyBorder="1" applyAlignment="1">
      <alignment horizontal="right" vertical="center"/>
    </xf>
    <xf numFmtId="176" fontId="13" fillId="0" borderId="7" xfId="3" applyNumberFormat="1" applyFont="1" applyBorder="1" applyAlignment="1">
      <alignment horizontal="center" vertical="center" shrinkToFit="1"/>
    </xf>
    <xf numFmtId="176" fontId="12" fillId="2" borderId="3" xfId="5" applyNumberFormat="1" applyFont="1" applyFill="1" applyBorder="1" applyAlignment="1">
      <alignment vertical="center" shrinkToFit="1"/>
    </xf>
    <xf numFmtId="176" fontId="12" fillId="0" borderId="3" xfId="5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</cellXfs>
  <cellStyles count="6">
    <cellStyle name="常规" xfId="0" builtinId="0"/>
    <cellStyle name="常规 2" xfId="1"/>
    <cellStyle name="常规 2 3 2" xfId="5"/>
    <cellStyle name="常规 3" xfId="3"/>
    <cellStyle name="常规_jlfxy2_1.1101吉林局－以集团本..－基本统计数据表（2007" xfId="4"/>
    <cellStyle name="常规_模板补充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4"/>
  <sheetViews>
    <sheetView tabSelected="1" workbookViewId="0">
      <selection activeCell="I10" sqref="I10"/>
    </sheetView>
  </sheetViews>
  <sheetFormatPr defaultRowHeight="14.25"/>
  <cols>
    <col min="1" max="1" width="9.375" customWidth="1"/>
    <col min="2" max="2" width="48.125" customWidth="1"/>
    <col min="3" max="3" width="21.875" style="8" customWidth="1"/>
  </cols>
  <sheetData>
    <row r="1" spans="2:9" ht="21.75" customHeight="1"/>
    <row r="2" spans="2:9">
      <c r="B2" s="50" t="s">
        <v>95</v>
      </c>
      <c r="C2" s="51"/>
      <c r="D2" s="5"/>
      <c r="I2" s="3"/>
    </row>
    <row r="3" spans="2:9">
      <c r="B3" s="52"/>
      <c r="C3" s="52"/>
      <c r="D3" s="5"/>
    </row>
    <row r="4" spans="2:9">
      <c r="B4" s="50"/>
      <c r="C4" s="51"/>
      <c r="D4" s="5"/>
    </row>
    <row r="5" spans="2:9">
      <c r="B5" s="35"/>
      <c r="C5" s="36"/>
      <c r="D5" s="5"/>
    </row>
    <row r="6" spans="2:9">
      <c r="B6" s="2"/>
      <c r="C6" s="4" t="s">
        <v>0</v>
      </c>
      <c r="D6" s="5"/>
    </row>
    <row r="7" spans="2:9" ht="26.1" customHeight="1">
      <c r="B7" s="7" t="s">
        <v>1</v>
      </c>
      <c r="C7" s="29">
        <f>1120874.56</f>
        <v>1120874.56</v>
      </c>
    </row>
    <row r="8" spans="2:9" ht="26.1" customHeight="1">
      <c r="B8" s="7" t="s">
        <v>2</v>
      </c>
      <c r="C8" s="29">
        <f>386659.34</f>
        <v>386659.34</v>
      </c>
    </row>
    <row r="9" spans="2:9" ht="26.1" customHeight="1">
      <c r="B9" s="7" t="s">
        <v>3</v>
      </c>
      <c r="C9" s="29">
        <f>734215.22</f>
        <v>734215.22</v>
      </c>
    </row>
    <row r="10" spans="2:9" ht="26.1" customHeight="1">
      <c r="B10" s="7" t="s">
        <v>4</v>
      </c>
      <c r="C10" s="29">
        <f>28646.96</f>
        <v>28646.959999999999</v>
      </c>
    </row>
    <row r="11" spans="2:9" ht="26.1" customHeight="1">
      <c r="B11" s="7" t="s">
        <v>5</v>
      </c>
      <c r="C11" s="29">
        <f>120775.88</f>
        <v>120775.88</v>
      </c>
    </row>
    <row r="12" spans="2:9" ht="26.1" customHeight="1">
      <c r="B12" s="7" t="s">
        <v>6</v>
      </c>
      <c r="C12" s="29">
        <f>584792.38</f>
        <v>584792.38</v>
      </c>
    </row>
    <row r="13" spans="2:9" ht="26.1" customHeight="1">
      <c r="B13" s="7" t="s">
        <v>7</v>
      </c>
      <c r="C13" s="29">
        <f>382242.05</f>
        <v>382242.05</v>
      </c>
    </row>
    <row r="14" spans="2:9" ht="26.1" customHeight="1">
      <c r="B14" s="7" t="s">
        <v>8</v>
      </c>
      <c r="C14" s="29">
        <f>192832.81</f>
        <v>192832.81</v>
      </c>
    </row>
    <row r="15" spans="2:9" ht="26.1" customHeight="1">
      <c r="B15" s="7" t="s">
        <v>9</v>
      </c>
      <c r="C15" s="29">
        <f>189409.24</f>
        <v>189409.24</v>
      </c>
    </row>
    <row r="16" spans="2:9" ht="26.1" customHeight="1">
      <c r="B16" s="7" t="s">
        <v>10</v>
      </c>
      <c r="C16" s="29">
        <f>5813.04</f>
        <v>5813.04</v>
      </c>
    </row>
    <row r="17" spans="2:3" ht="26.1" customHeight="1">
      <c r="B17" s="7" t="s">
        <v>11</v>
      </c>
      <c r="C17" s="29">
        <f>58164.31</f>
        <v>58164.31</v>
      </c>
    </row>
    <row r="18" spans="2:3" ht="26.1" customHeight="1">
      <c r="B18" s="7" t="s">
        <v>12</v>
      </c>
      <c r="C18" s="29">
        <f>125431.89</f>
        <v>125431.89</v>
      </c>
    </row>
    <row r="19" spans="2:3" ht="14.25" customHeight="1">
      <c r="B19" s="8" t="s">
        <v>13</v>
      </c>
    </row>
    <row r="20" spans="2:3">
      <c r="B20" s="8" t="s">
        <v>14</v>
      </c>
    </row>
    <row r="21" spans="2:3">
      <c r="B21" s="8" t="s">
        <v>15</v>
      </c>
    </row>
    <row r="22" spans="2:3">
      <c r="B22" s="8" t="s">
        <v>16</v>
      </c>
    </row>
    <row r="23" spans="2:3">
      <c r="B23" s="8" t="s">
        <v>17</v>
      </c>
    </row>
    <row r="24" spans="2:3">
      <c r="B24" s="8" t="s">
        <v>18</v>
      </c>
    </row>
  </sheetData>
  <mergeCells count="2">
    <mergeCell ref="B2:C4"/>
    <mergeCell ref="B5:C5"/>
  </mergeCells>
  <phoneticPr fontId="6" type="noConversion"/>
  <pageMargins left="0.75" right="0.75" top="1" bottom="1" header="0.5" footer="0.5"/>
  <pageSetup paperSize="9" orientation="portrait" r:id="rId1"/>
  <headerFooter alignWithMargins="0">
    <oddFooter>&amp;L&amp;"Times New Roman,常规"&amp;9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28"/>
  <sheetViews>
    <sheetView showGridLines="0" workbookViewId="0">
      <selection activeCell="B1" sqref="B1:D3"/>
    </sheetView>
  </sheetViews>
  <sheetFormatPr defaultRowHeight="14.25"/>
  <cols>
    <col min="2" max="2" width="9.625" customWidth="1"/>
    <col min="3" max="3" width="39.875" customWidth="1"/>
    <col min="4" max="4" width="24.5" customWidth="1"/>
    <col min="5" max="5" width="11.625" bestFit="1" customWidth="1"/>
  </cols>
  <sheetData>
    <row r="1" spans="2:5">
      <c r="B1" s="50" t="s">
        <v>96</v>
      </c>
      <c r="C1" s="50"/>
      <c r="D1" s="51"/>
      <c r="E1" s="5"/>
    </row>
    <row r="2" spans="2:5">
      <c r="B2" s="52"/>
      <c r="C2" s="52"/>
      <c r="D2" s="52"/>
      <c r="E2" s="5"/>
    </row>
    <row r="3" spans="2:5">
      <c r="B3" s="50"/>
      <c r="C3" s="50"/>
      <c r="D3" s="51"/>
      <c r="E3" s="5"/>
    </row>
    <row r="4" spans="2:5">
      <c r="B4" s="35"/>
      <c r="C4" s="35"/>
      <c r="D4" s="36"/>
      <c r="E4" s="5"/>
    </row>
    <row r="5" spans="2:5">
      <c r="B5" s="1"/>
      <c r="C5" s="12"/>
      <c r="D5" s="6" t="s">
        <v>19</v>
      </c>
      <c r="E5" s="5"/>
    </row>
    <row r="6" spans="2:5">
      <c r="B6" s="38" t="s">
        <v>21</v>
      </c>
      <c r="C6" s="40" t="s">
        <v>22</v>
      </c>
      <c r="D6" s="40" t="s">
        <v>23</v>
      </c>
      <c r="E6" s="5"/>
    </row>
    <row r="7" spans="2:5" ht="9.75" customHeight="1">
      <c r="B7" s="39"/>
      <c r="C7" s="41"/>
      <c r="D7" s="41"/>
      <c r="E7" s="5"/>
    </row>
    <row r="8" spans="2:5" ht="24" customHeight="1">
      <c r="B8" s="38" t="s">
        <v>24</v>
      </c>
      <c r="C8" s="9" t="s">
        <v>25</v>
      </c>
      <c r="D8" s="30">
        <f>1243188816.07/10000</f>
        <v>124318.88160699999</v>
      </c>
      <c r="E8" s="5"/>
    </row>
    <row r="9" spans="2:5" ht="24" customHeight="1">
      <c r="B9" s="42"/>
      <c r="C9" s="9" t="s">
        <v>26</v>
      </c>
      <c r="D9" s="30">
        <f>785975804.77/10000</f>
        <v>78597.580476999996</v>
      </c>
      <c r="E9" s="5"/>
    </row>
    <row r="10" spans="2:5" ht="24" customHeight="1">
      <c r="B10" s="42"/>
      <c r="C10" s="9" t="s">
        <v>27</v>
      </c>
      <c r="D10" s="30">
        <f>1118240676.68/10000</f>
        <v>111824.067668</v>
      </c>
      <c r="E10" s="5"/>
    </row>
    <row r="11" spans="2:5" ht="24" customHeight="1">
      <c r="B11" s="42"/>
      <c r="C11" s="9" t="s">
        <v>28</v>
      </c>
      <c r="D11" s="30">
        <f>68538492.07/10000</f>
        <v>6853.8492069999993</v>
      </c>
      <c r="E11" s="5"/>
    </row>
    <row r="12" spans="2:5" ht="24" customHeight="1">
      <c r="B12" s="42"/>
      <c r="C12" s="9" t="s">
        <v>29</v>
      </c>
      <c r="D12" s="30">
        <f>23113490.29/10000</f>
        <v>2311.349029</v>
      </c>
      <c r="E12" s="5"/>
    </row>
    <row r="13" spans="2:5" ht="24" customHeight="1">
      <c r="B13" s="42"/>
      <c r="C13" s="9" t="s">
        <v>30</v>
      </c>
      <c r="D13" s="30">
        <f>23779137.58/10000</f>
        <v>2377.9137579999997</v>
      </c>
      <c r="E13" s="5"/>
    </row>
    <row r="14" spans="2:5" ht="24" customHeight="1">
      <c r="B14" s="42"/>
      <c r="C14" s="9" t="s">
        <v>31</v>
      </c>
      <c r="D14" s="30">
        <f>195874136.17/10000</f>
        <v>19587.413616999998</v>
      </c>
      <c r="E14" s="5"/>
    </row>
    <row r="15" spans="2:5" ht="24" customHeight="1">
      <c r="B15" s="42"/>
      <c r="C15" s="25" t="s">
        <v>32</v>
      </c>
      <c r="D15" s="30">
        <f>229171857.61/10000</f>
        <v>22917.185761000001</v>
      </c>
      <c r="E15" s="5"/>
    </row>
    <row r="16" spans="2:5" ht="24" customHeight="1">
      <c r="B16" s="42"/>
      <c r="C16" s="9" t="s">
        <v>33</v>
      </c>
      <c r="D16" s="30">
        <f>101554004.61/10000</f>
        <v>10155.400460999999</v>
      </c>
      <c r="E16" s="5"/>
    </row>
    <row r="17" spans="2:5" ht="24" customHeight="1">
      <c r="B17" s="42"/>
      <c r="C17" s="9" t="s">
        <v>34</v>
      </c>
      <c r="D17" s="30">
        <f>143259573.04/10000</f>
        <v>14325.957304</v>
      </c>
      <c r="E17" s="5"/>
    </row>
    <row r="18" spans="2:5" ht="24" customHeight="1">
      <c r="B18" s="42"/>
      <c r="C18" s="9" t="s">
        <v>35</v>
      </c>
      <c r="D18" s="30">
        <f>85330547.97/10000</f>
        <v>8533.0547970000007</v>
      </c>
      <c r="E18" s="5"/>
    </row>
    <row r="19" spans="2:5" ht="24" customHeight="1">
      <c r="B19" s="42"/>
      <c r="C19" s="9" t="s">
        <v>36</v>
      </c>
      <c r="D19" s="30">
        <f>20599109.3/10000</f>
        <v>2059.91093</v>
      </c>
      <c r="E19" s="5"/>
    </row>
    <row r="20" spans="2:5" ht="24" customHeight="1">
      <c r="B20" s="42"/>
      <c r="C20" s="9" t="s">
        <v>37</v>
      </c>
      <c r="D20" s="30">
        <f>6196897.1/10000</f>
        <v>619.68970999999999</v>
      </c>
      <c r="E20" s="5"/>
    </row>
    <row r="21" spans="2:5" ht="24" customHeight="1">
      <c r="B21" s="42"/>
      <c r="C21" s="9" t="s">
        <v>38</v>
      </c>
      <c r="D21" s="30">
        <f>49730.01/10000</f>
        <v>4.973001</v>
      </c>
      <c r="E21" s="5"/>
    </row>
    <row r="22" spans="2:5" ht="24" customHeight="1">
      <c r="B22" s="39"/>
      <c r="C22" s="9" t="s">
        <v>39</v>
      </c>
      <c r="D22" s="30">
        <f>4044872398.85/10000</f>
        <v>404487.23988499999</v>
      </c>
      <c r="E22" s="5"/>
    </row>
    <row r="23" spans="2:5" ht="24" customHeight="1">
      <c r="B23" s="33" t="s">
        <v>40</v>
      </c>
      <c r="C23" s="9" t="s">
        <v>41</v>
      </c>
      <c r="D23" s="30">
        <f>0/10000</f>
        <v>0</v>
      </c>
      <c r="E23" s="5"/>
    </row>
    <row r="24" spans="2:5" ht="24" customHeight="1">
      <c r="B24" s="37" t="s">
        <v>42</v>
      </c>
      <c r="C24" s="37"/>
      <c r="D24" s="30">
        <f>4044872398.85/10000</f>
        <v>404487.23988499999</v>
      </c>
      <c r="E24" s="26"/>
    </row>
    <row r="25" spans="2:5" ht="20.100000000000001" customHeight="1">
      <c r="B25" s="8" t="s">
        <v>43</v>
      </c>
    </row>
    <row r="26" spans="2:5" ht="20.100000000000001" customHeight="1">
      <c r="B26" s="8" t="s">
        <v>44</v>
      </c>
    </row>
    <row r="27" spans="2:5" ht="20.100000000000001" customHeight="1">
      <c r="B27" s="8" t="s">
        <v>45</v>
      </c>
    </row>
    <row r="28" spans="2:5" ht="20.100000000000001" customHeight="1">
      <c r="B28" s="8" t="s">
        <v>46</v>
      </c>
    </row>
  </sheetData>
  <mergeCells count="7">
    <mergeCell ref="B24:C24"/>
    <mergeCell ref="B1:D3"/>
    <mergeCell ref="B4:D4"/>
    <mergeCell ref="B6:B7"/>
    <mergeCell ref="C6:C7"/>
    <mergeCell ref="D6:D7"/>
    <mergeCell ref="B8:B22"/>
  </mergeCells>
  <phoneticPr fontId="6" type="noConversion"/>
  <pageMargins left="0.75" right="0.75" top="1" bottom="1" header="0.5" footer="0.5"/>
  <pageSetup paperSize="9" orientation="portrait" r:id="rId1"/>
  <headerFooter alignWithMargins="0">
    <oddFooter>&amp;R&amp;"Times New Roman,常规"&amp;9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1" sqref="B1:D4"/>
    </sheetView>
  </sheetViews>
  <sheetFormatPr defaultRowHeight="14.25"/>
  <cols>
    <col min="2" max="2" width="10" customWidth="1"/>
    <col min="3" max="3" width="40.75" customWidth="1"/>
    <col min="4" max="4" width="24.5" customWidth="1"/>
    <col min="6" max="6" width="11.625" bestFit="1" customWidth="1"/>
  </cols>
  <sheetData>
    <row r="1" spans="2:5">
      <c r="B1" s="50" t="s">
        <v>97</v>
      </c>
      <c r="C1" s="50"/>
      <c r="D1" s="51"/>
    </row>
    <row r="2" spans="2:5">
      <c r="B2" s="50"/>
      <c r="C2" s="50"/>
      <c r="D2" s="51"/>
    </row>
    <row r="3" spans="2:5">
      <c r="B3" s="52"/>
      <c r="C3" s="52"/>
      <c r="D3" s="52"/>
    </row>
    <row r="4" spans="2:5">
      <c r="B4" s="50"/>
      <c r="C4" s="50"/>
      <c r="D4" s="51"/>
    </row>
    <row r="5" spans="2:5">
      <c r="B5" s="35"/>
      <c r="C5" s="35"/>
      <c r="D5" s="36"/>
    </row>
    <row r="6" spans="2:5">
      <c r="B6" s="1"/>
      <c r="C6" s="12"/>
      <c r="D6" s="6" t="s">
        <v>19</v>
      </c>
    </row>
    <row r="7" spans="2:5">
      <c r="B7" s="44" t="s">
        <v>20</v>
      </c>
      <c r="C7" s="46" t="s">
        <v>47</v>
      </c>
      <c r="D7" s="40" t="s">
        <v>1</v>
      </c>
    </row>
    <row r="8" spans="2:5" ht="15" customHeight="1">
      <c r="B8" s="45"/>
      <c r="C8" s="47"/>
      <c r="D8" s="41"/>
    </row>
    <row r="9" spans="2:5" ht="24" customHeight="1">
      <c r="B9" s="38" t="s">
        <v>48</v>
      </c>
      <c r="C9" s="11" t="s">
        <v>49</v>
      </c>
      <c r="D9" s="30">
        <f>1585453307.45/10000</f>
        <v>158545.33074500001</v>
      </c>
      <c r="E9" s="5"/>
    </row>
    <row r="10" spans="2:5" ht="24" customHeight="1">
      <c r="B10" s="42"/>
      <c r="C10" s="11" t="s">
        <v>50</v>
      </c>
      <c r="D10" s="30">
        <f>18085104.33/10000</f>
        <v>1808.5104329999999</v>
      </c>
      <c r="E10" s="5"/>
    </row>
    <row r="11" spans="2:5" ht="24" customHeight="1">
      <c r="B11" s="42"/>
      <c r="C11" s="11" t="s">
        <v>51</v>
      </c>
      <c r="D11" s="30">
        <f>492419304.52/10000</f>
        <v>49241.930452000001</v>
      </c>
      <c r="E11" s="5"/>
    </row>
    <row r="12" spans="2:5" ht="24" customHeight="1">
      <c r="B12" s="42"/>
      <c r="C12" s="11" t="s">
        <v>52</v>
      </c>
      <c r="D12" s="30">
        <f>1562054090.78/10000</f>
        <v>156205.409078</v>
      </c>
      <c r="E12" s="5"/>
    </row>
    <row r="13" spans="2:5" ht="24" customHeight="1">
      <c r="B13" s="42"/>
      <c r="C13" s="11" t="s">
        <v>53</v>
      </c>
      <c r="D13" s="30">
        <f>740173938.4/10000</f>
        <v>74017.393840000004</v>
      </c>
      <c r="E13" s="5"/>
    </row>
    <row r="14" spans="2:5" ht="24" customHeight="1">
      <c r="B14" s="42"/>
      <c r="C14" s="11" t="s">
        <v>54</v>
      </c>
      <c r="D14" s="30">
        <f>638187201.02/10000</f>
        <v>63818.720101999999</v>
      </c>
      <c r="E14" s="5"/>
    </row>
    <row r="15" spans="2:5" ht="24" customHeight="1">
      <c r="B15" s="42"/>
      <c r="C15" s="11" t="s">
        <v>55</v>
      </c>
      <c r="D15" s="30">
        <f>653578170.81/10000</f>
        <v>65357.817080999994</v>
      </c>
      <c r="E15" s="5"/>
    </row>
    <row r="16" spans="2:5" ht="24" customHeight="1">
      <c r="B16" s="42"/>
      <c r="C16" s="16" t="s">
        <v>56</v>
      </c>
      <c r="D16" s="30">
        <f>244867522.81/10000</f>
        <v>24486.752281000001</v>
      </c>
      <c r="E16" s="5"/>
    </row>
    <row r="17" spans="2:6" ht="24" customHeight="1">
      <c r="B17" s="42"/>
      <c r="C17" s="16" t="s">
        <v>57</v>
      </c>
      <c r="D17" s="30">
        <f>255175385/10000</f>
        <v>25517.538499999999</v>
      </c>
      <c r="E17" s="5"/>
    </row>
    <row r="18" spans="2:6" ht="24" customHeight="1">
      <c r="B18" s="42"/>
      <c r="C18" s="16" t="s">
        <v>58</v>
      </c>
      <c r="D18" s="30">
        <f>469413093.92/10000</f>
        <v>46941.309392000003</v>
      </c>
      <c r="E18" s="5"/>
    </row>
    <row r="19" spans="2:6" ht="24" customHeight="1">
      <c r="B19" s="42"/>
      <c r="C19" s="16" t="s">
        <v>59</v>
      </c>
      <c r="D19" s="30">
        <f>270605810.49/10000</f>
        <v>27060.581049</v>
      </c>
      <c r="E19" s="5"/>
    </row>
    <row r="20" spans="2:6" ht="24" customHeight="1">
      <c r="B20" s="42"/>
      <c r="C20" s="16" t="s">
        <v>60</v>
      </c>
      <c r="D20" s="30">
        <f>184922103.26/10000</f>
        <v>18492.210326</v>
      </c>
      <c r="E20" s="5"/>
    </row>
    <row r="21" spans="2:6" ht="24" customHeight="1">
      <c r="B21" s="39"/>
      <c r="C21" s="10" t="s">
        <v>61</v>
      </c>
      <c r="D21" s="30">
        <f>7114935032.79/10000</f>
        <v>711493.50327899994</v>
      </c>
      <c r="E21" s="5"/>
    </row>
    <row r="22" spans="2:6" ht="24" customHeight="1">
      <c r="B22" s="38" t="s">
        <v>40</v>
      </c>
      <c r="C22" s="10" t="s">
        <v>62</v>
      </c>
      <c r="D22" s="30">
        <f>48938196.27/10000</f>
        <v>4893.8196270000008</v>
      </c>
      <c r="E22" s="5"/>
    </row>
    <row r="23" spans="2:6" ht="24" customHeight="1">
      <c r="B23" s="39"/>
      <c r="C23" s="13" t="s">
        <v>41</v>
      </c>
      <c r="D23" s="30">
        <f>48938196.27/10000</f>
        <v>4893.8196270000008</v>
      </c>
      <c r="E23" s="5"/>
    </row>
    <row r="24" spans="2:6" ht="24" customHeight="1">
      <c r="B24" s="37" t="s">
        <v>42</v>
      </c>
      <c r="C24" s="43"/>
      <c r="D24" s="30">
        <f>7163873229.06/10000</f>
        <v>716387.32290600007</v>
      </c>
      <c r="E24" s="5"/>
      <c r="F24" s="14"/>
    </row>
    <row r="25" spans="2:6" ht="20.100000000000001" customHeight="1">
      <c r="B25" s="8" t="s">
        <v>63</v>
      </c>
    </row>
    <row r="26" spans="2:6" ht="20.100000000000001" customHeight="1">
      <c r="B26" s="8" t="s">
        <v>64</v>
      </c>
    </row>
    <row r="27" spans="2:6" ht="20.100000000000001" customHeight="1">
      <c r="B27" s="8" t="s">
        <v>45</v>
      </c>
    </row>
    <row r="28" spans="2:6" ht="20.100000000000001" customHeight="1">
      <c r="B28" s="8" t="s">
        <v>65</v>
      </c>
    </row>
  </sheetData>
  <mergeCells count="8">
    <mergeCell ref="B24:C24"/>
    <mergeCell ref="B1:D4"/>
    <mergeCell ref="B5:D5"/>
    <mergeCell ref="B7:B8"/>
    <mergeCell ref="C7:C8"/>
    <mergeCell ref="D7:D8"/>
    <mergeCell ref="B9:B21"/>
    <mergeCell ref="B22:B23"/>
  </mergeCells>
  <phoneticPr fontId="6" type="noConversion"/>
  <pageMargins left="0.75" right="0.75" top="1" bottom="1" header="0.5" footer="0.5"/>
  <pageSetup paperSize="9" orientation="portrait" r:id="rId1"/>
  <headerFooter alignWithMargins="0">
    <oddFooter>&amp;L&amp;"Times New Roman,常规"&amp;9 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F3"/>
    </sheetView>
  </sheetViews>
  <sheetFormatPr defaultRowHeight="14.25"/>
  <cols>
    <col min="1" max="1" width="15" style="18" customWidth="1"/>
    <col min="2" max="2" width="13.5" customWidth="1"/>
    <col min="3" max="5" width="12.625" customWidth="1"/>
    <col min="6" max="6" width="14" customWidth="1"/>
  </cols>
  <sheetData>
    <row r="1" spans="1:7">
      <c r="A1" s="50" t="s">
        <v>98</v>
      </c>
      <c r="B1" s="50"/>
      <c r="C1" s="50"/>
      <c r="D1" s="50"/>
      <c r="E1" s="50"/>
      <c r="F1" s="51"/>
      <c r="G1" s="5"/>
    </row>
    <row r="2" spans="1:7">
      <c r="A2" s="52"/>
      <c r="B2" s="52"/>
      <c r="C2" s="52"/>
      <c r="D2" s="52"/>
      <c r="E2" s="52"/>
      <c r="F2" s="52"/>
      <c r="G2" s="5"/>
    </row>
    <row r="3" spans="1:7">
      <c r="A3" s="50"/>
      <c r="B3" s="50"/>
      <c r="C3" s="50"/>
      <c r="D3" s="50"/>
      <c r="E3" s="50"/>
      <c r="F3" s="51"/>
      <c r="G3" s="5"/>
    </row>
    <row r="4" spans="1:7">
      <c r="A4" s="35"/>
      <c r="B4" s="35"/>
      <c r="C4" s="35"/>
      <c r="D4" s="35"/>
      <c r="E4" s="35"/>
      <c r="F4" s="36"/>
      <c r="G4" s="5"/>
    </row>
    <row r="5" spans="1:7">
      <c r="A5" s="19"/>
      <c r="B5" s="15"/>
      <c r="C5" s="49"/>
      <c r="D5" s="49"/>
      <c r="E5" s="15"/>
      <c r="F5" s="34" t="s">
        <v>19</v>
      </c>
      <c r="G5" s="5"/>
    </row>
    <row r="6" spans="1:7" s="18" customFormat="1">
      <c r="A6" s="20" t="s">
        <v>66</v>
      </c>
      <c r="B6" s="23" t="s">
        <v>1</v>
      </c>
      <c r="C6" s="23" t="s">
        <v>67</v>
      </c>
      <c r="D6" s="23" t="s">
        <v>68</v>
      </c>
      <c r="E6" s="24" t="s">
        <v>69</v>
      </c>
      <c r="F6" s="20" t="s">
        <v>70</v>
      </c>
      <c r="G6" s="17"/>
    </row>
    <row r="7" spans="1:7">
      <c r="A7" s="21" t="s">
        <v>71</v>
      </c>
      <c r="B7" s="31">
        <f>11208745627.91/10000</f>
        <v>1120874.5627909999</v>
      </c>
      <c r="C7" s="31">
        <f>B7-D7-E7-F7</f>
        <v>386659.33786399988</v>
      </c>
      <c r="D7" s="31">
        <f>5847923820.02/10000</f>
        <v>584792.382002</v>
      </c>
      <c r="E7" s="31">
        <f>286469603.8/10000</f>
        <v>28646.96038</v>
      </c>
      <c r="F7" s="31">
        <f>1207758825.45/10000</f>
        <v>120775.882545</v>
      </c>
      <c r="G7" s="5"/>
    </row>
    <row r="8" spans="1:7">
      <c r="A8" s="21" t="s">
        <v>72</v>
      </c>
      <c r="B8" s="31">
        <f>603048414.86/10000</f>
        <v>60304.841486000005</v>
      </c>
      <c r="C8" s="31">
        <f t="shared" ref="C8:C28" si="0">B8-D8-E8-F8</f>
        <v>59425.253129000004</v>
      </c>
      <c r="D8" s="31">
        <f>0/10000</f>
        <v>0</v>
      </c>
      <c r="E8" s="31">
        <f>7855534.3/10000</f>
        <v>785.55342999999993</v>
      </c>
      <c r="F8" s="31">
        <f>940349.27/10000</f>
        <v>94.034926999999996</v>
      </c>
      <c r="G8" s="5"/>
    </row>
    <row r="9" spans="1:7">
      <c r="A9" s="22" t="s">
        <v>73</v>
      </c>
      <c r="B9" s="31">
        <f>6773541496.76/10000</f>
        <v>677354.149676</v>
      </c>
      <c r="C9" s="31">
        <f t="shared" si="0"/>
        <v>191860.02330300002</v>
      </c>
      <c r="D9" s="31">
        <f>3708023531.98/10000</f>
        <v>370802.353198</v>
      </c>
      <c r="E9" s="31">
        <f>192767205.68/10000</f>
        <v>19276.720568000001</v>
      </c>
      <c r="F9" s="31">
        <f>954150526.07/10000</f>
        <v>95415.052607000005</v>
      </c>
      <c r="G9" s="5"/>
    </row>
    <row r="10" spans="1:7">
      <c r="A10" s="22" t="s">
        <v>74</v>
      </c>
      <c r="B10" s="31">
        <f>1351704255.8/10000</f>
        <v>135170.42557999998</v>
      </c>
      <c r="C10" s="31">
        <f t="shared" si="0"/>
        <v>55409.528201999972</v>
      </c>
      <c r="D10" s="31">
        <f>674548232.57/10000</f>
        <v>67454.823257000011</v>
      </c>
      <c r="E10" s="31">
        <f>32256216.21/10000</f>
        <v>3225.6216210000002</v>
      </c>
      <c r="F10" s="31">
        <f>90804525/10000</f>
        <v>9080.4524999999994</v>
      </c>
      <c r="G10" s="5"/>
    </row>
    <row r="11" spans="1:7" s="28" customFormat="1">
      <c r="A11" s="22" t="s">
        <v>75</v>
      </c>
      <c r="B11" s="32">
        <f>13534287.26/10000+0/10000+0/10000</f>
        <v>1353.4287259999999</v>
      </c>
      <c r="C11" s="31">
        <f t="shared" si="0"/>
        <v>1127.0371519999999</v>
      </c>
      <c r="D11" s="32">
        <f>0/10000+0/10000+0/10000</f>
        <v>0</v>
      </c>
      <c r="E11" s="32">
        <f>1335424.01/10000+0/10000+0/10000</f>
        <v>133.54240100000001</v>
      </c>
      <c r="F11" s="32">
        <f>928491.73/10000+0/10000+0/10000</f>
        <v>92.849172999999993</v>
      </c>
      <c r="G11" s="27"/>
    </row>
    <row r="12" spans="1:7">
      <c r="A12" s="22" t="s">
        <v>76</v>
      </c>
      <c r="B12" s="31">
        <f>47135897.45/10000</f>
        <v>4713.5897450000002</v>
      </c>
      <c r="C12" s="31">
        <f t="shared" si="0"/>
        <v>1695.8773380000002</v>
      </c>
      <c r="D12" s="31">
        <f>26490410.73/10000</f>
        <v>2649.0410729999999</v>
      </c>
      <c r="E12" s="31">
        <f>1486041.19/10000</f>
        <v>148.604119</v>
      </c>
      <c r="F12" s="31">
        <f>2200672.15/10000</f>
        <v>220.067215</v>
      </c>
      <c r="G12" s="5"/>
    </row>
    <row r="13" spans="1:7">
      <c r="A13" s="22" t="s">
        <v>77</v>
      </c>
      <c r="B13" s="31">
        <f>352988910.09/10000</f>
        <v>35298.891008999999</v>
      </c>
      <c r="C13" s="31">
        <f t="shared" si="0"/>
        <v>11052.464960999998</v>
      </c>
      <c r="D13" s="31">
        <f>207031711.15/10000</f>
        <v>20703.171115000001</v>
      </c>
      <c r="E13" s="31">
        <f>8588499.62/10000</f>
        <v>858.84996199999989</v>
      </c>
      <c r="F13" s="31">
        <f>26844049.71/10000</f>
        <v>2684.4049709999999</v>
      </c>
      <c r="G13" s="5"/>
    </row>
    <row r="14" spans="1:7">
      <c r="A14" s="22" t="s">
        <v>78</v>
      </c>
      <c r="B14" s="31">
        <f>403622613.06/10000</f>
        <v>40362.261306</v>
      </c>
      <c r="C14" s="31">
        <f t="shared" si="0"/>
        <v>11587.400607999998</v>
      </c>
      <c r="D14" s="31">
        <f>258622774.86/10000</f>
        <v>25862.277486000003</v>
      </c>
      <c r="E14" s="31">
        <f>6565854.86/10000</f>
        <v>656.58548600000006</v>
      </c>
      <c r="F14" s="31">
        <f>22559977.26/10000</f>
        <v>2255.9977260000001</v>
      </c>
      <c r="G14" s="5"/>
    </row>
    <row r="15" spans="1:7">
      <c r="A15" s="22" t="s">
        <v>79</v>
      </c>
      <c r="B15" s="31">
        <f>404288599.52/10000</f>
        <v>40428.859951999999</v>
      </c>
      <c r="C15" s="31">
        <f t="shared" si="0"/>
        <v>8125.5924959999993</v>
      </c>
      <c r="D15" s="31">
        <f>290614863.95/10000</f>
        <v>29061.486395</v>
      </c>
      <c r="E15" s="31">
        <f>6881091.92/10000</f>
        <v>688.10919200000001</v>
      </c>
      <c r="F15" s="31">
        <f>25536718.69/10000</f>
        <v>2553.6718690000002</v>
      </c>
      <c r="G15" s="5"/>
    </row>
    <row r="16" spans="1:7">
      <c r="A16" s="22" t="s">
        <v>80</v>
      </c>
      <c r="B16" s="31">
        <f>238054298.8/10000</f>
        <v>23805.42988</v>
      </c>
      <c r="C16" s="31">
        <f t="shared" si="0"/>
        <v>5850.4885589999985</v>
      </c>
      <c r="D16" s="31">
        <f>156209087.58/10000</f>
        <v>15620.908758000001</v>
      </c>
      <c r="E16" s="31">
        <f>4069474.59/10000</f>
        <v>406.94745899999998</v>
      </c>
      <c r="F16" s="31">
        <f>19270851.04/10000</f>
        <v>1927.085104</v>
      </c>
      <c r="G16" s="5"/>
    </row>
    <row r="17" spans="1:7">
      <c r="A17" s="22" t="s">
        <v>81</v>
      </c>
      <c r="B17" s="31">
        <f>113572237.47/10000</f>
        <v>11357.223747</v>
      </c>
      <c r="C17" s="31">
        <f t="shared" si="0"/>
        <v>6454.7243019999996</v>
      </c>
      <c r="D17" s="31">
        <f>41560907.21/10000</f>
        <v>4156.0907210000005</v>
      </c>
      <c r="E17" s="31">
        <f>2696584.39/10000</f>
        <v>269.65843899999999</v>
      </c>
      <c r="F17" s="31">
        <f>4767502.85/10000</f>
        <v>476.75028499999996</v>
      </c>
      <c r="G17" s="5"/>
    </row>
    <row r="18" spans="1:7">
      <c r="A18" s="22" t="s">
        <v>82</v>
      </c>
      <c r="B18" s="31">
        <f>67090646.69/10000</f>
        <v>6709.0646689999994</v>
      </c>
      <c r="C18" s="31">
        <f t="shared" si="0"/>
        <v>2325.6132509999993</v>
      </c>
      <c r="D18" s="31">
        <f>38177775.24/10000</f>
        <v>3817.7775240000001</v>
      </c>
      <c r="E18" s="31">
        <f>1702239.4/10000</f>
        <v>170.22394</v>
      </c>
      <c r="F18" s="31">
        <f>3954499.54/10000</f>
        <v>395.44995399999999</v>
      </c>
      <c r="G18" s="5"/>
    </row>
    <row r="19" spans="1:7">
      <c r="A19" s="22" t="s">
        <v>83</v>
      </c>
      <c r="B19" s="31">
        <f>68484258.17/10000</f>
        <v>6848.4258170000003</v>
      </c>
      <c r="C19" s="31">
        <f t="shared" si="0"/>
        <v>1880.5919249999999</v>
      </c>
      <c r="D19" s="31">
        <f>42796127.74/10000</f>
        <v>4279.6127740000002</v>
      </c>
      <c r="E19" s="31">
        <f>2047516.31/10000</f>
        <v>204.751631</v>
      </c>
      <c r="F19" s="31">
        <f>4834694.87/10000</f>
        <v>483.46948700000002</v>
      </c>
      <c r="G19" s="5"/>
    </row>
    <row r="20" spans="1:7">
      <c r="A20" s="22" t="s">
        <v>84</v>
      </c>
      <c r="B20" s="31">
        <f>137171698.31/10000</f>
        <v>13717.169831000001</v>
      </c>
      <c r="C20" s="31">
        <f t="shared" si="0"/>
        <v>7044.5472870000012</v>
      </c>
      <c r="D20" s="31">
        <f>57265045.38/10000</f>
        <v>5726.5045380000001</v>
      </c>
      <c r="E20" s="31">
        <f>2093869.11/10000</f>
        <v>209.386911</v>
      </c>
      <c r="F20" s="31">
        <f>7367310.95/10000</f>
        <v>736.73109499999998</v>
      </c>
      <c r="G20" s="5"/>
    </row>
    <row r="21" spans="1:7">
      <c r="A21" s="22" t="s">
        <v>85</v>
      </c>
      <c r="B21" s="31">
        <f>92209574.89/10000</f>
        <v>9220.9574890000004</v>
      </c>
      <c r="C21" s="31">
        <f t="shared" si="0"/>
        <v>3382.9938640000009</v>
      </c>
      <c r="D21" s="31">
        <f>46316145.48/10000</f>
        <v>4631.6145479999996</v>
      </c>
      <c r="E21" s="31">
        <f>2495909.58/10000</f>
        <v>249.590958</v>
      </c>
      <c r="F21" s="31">
        <f>9567581.19/10000</f>
        <v>956.75811899999997</v>
      </c>
      <c r="G21" s="5"/>
    </row>
    <row r="22" spans="1:7">
      <c r="A22" s="22" t="s">
        <v>86</v>
      </c>
      <c r="B22" s="31">
        <f>26516498.25/10000</f>
        <v>2651.649825</v>
      </c>
      <c r="C22" s="31">
        <f t="shared" si="0"/>
        <v>1213.2087149999998</v>
      </c>
      <c r="D22" s="31">
        <f>11914715.8/10000</f>
        <v>1191.4715800000001</v>
      </c>
      <c r="E22" s="31">
        <f>792801.37/10000</f>
        <v>79.280136999999996</v>
      </c>
      <c r="F22" s="31">
        <f>1676893.93/10000</f>
        <v>167.689393</v>
      </c>
      <c r="G22" s="5"/>
    </row>
    <row r="23" spans="1:7">
      <c r="A23" s="22" t="s">
        <v>87</v>
      </c>
      <c r="B23" s="31">
        <f>101386512.65/10000</f>
        <v>10138.651265</v>
      </c>
      <c r="C23" s="31">
        <f t="shared" si="0"/>
        <v>4077.9391330000008</v>
      </c>
      <c r="D23" s="31">
        <f>52914834.92/10000</f>
        <v>5291.4834920000003</v>
      </c>
      <c r="E23" s="31">
        <f>2381184.49/10000</f>
        <v>238.11844900000003</v>
      </c>
      <c r="F23" s="31">
        <f>5311101.91/10000</f>
        <v>531.11019099999999</v>
      </c>
      <c r="G23" s="5"/>
    </row>
    <row r="24" spans="1:7">
      <c r="A24" s="22" t="s">
        <v>88</v>
      </c>
      <c r="B24" s="31">
        <f>88410838.1/10000</f>
        <v>8841.0838100000001</v>
      </c>
      <c r="C24" s="31">
        <f t="shared" si="0"/>
        <v>3251.2960079999998</v>
      </c>
      <c r="D24" s="31">
        <f>48394776.51/10000</f>
        <v>4839.4776510000002</v>
      </c>
      <c r="E24" s="31">
        <f>2096040.79/10000</f>
        <v>209.60407900000001</v>
      </c>
      <c r="F24" s="31">
        <f>5407060.72/10000</f>
        <v>540.70607199999995</v>
      </c>
      <c r="G24" s="5"/>
    </row>
    <row r="25" spans="1:7">
      <c r="A25" s="22" t="s">
        <v>89</v>
      </c>
      <c r="B25" s="31">
        <f>119525140.37/10000</f>
        <v>11952.514037000001</v>
      </c>
      <c r="C25" s="31">
        <f t="shared" si="0"/>
        <v>3857.7845230000012</v>
      </c>
      <c r="D25" s="31">
        <f>71967678.38/10000</f>
        <v>7196.7678379999998</v>
      </c>
      <c r="E25" s="31">
        <f>2381437.63/10000</f>
        <v>238.14376299999998</v>
      </c>
      <c r="F25" s="31">
        <f>6598179.13/10000</f>
        <v>659.81791299999998</v>
      </c>
      <c r="G25" s="5"/>
    </row>
    <row r="26" spans="1:7" ht="14.25" customHeight="1">
      <c r="A26" s="22" t="s">
        <v>90</v>
      </c>
      <c r="B26" s="31">
        <f>81339256.42/10000</f>
        <v>8133.9256420000002</v>
      </c>
      <c r="C26" s="31">
        <f t="shared" si="0"/>
        <v>1106.4951770000007</v>
      </c>
      <c r="D26" s="31">
        <f>61307387.23/10000</f>
        <v>6130.7387229999995</v>
      </c>
      <c r="E26" s="31">
        <f>2218236.75/10000</f>
        <v>221.82367500000001</v>
      </c>
      <c r="F26" s="31">
        <f>6748680.67/10000</f>
        <v>674.868067</v>
      </c>
      <c r="G26" s="5"/>
    </row>
    <row r="27" spans="1:7" ht="14.25" customHeight="1">
      <c r="A27" s="22" t="s">
        <v>91</v>
      </c>
      <c r="B27" s="31">
        <f>63044360.96/10000</f>
        <v>6304.4360960000004</v>
      </c>
      <c r="C27" s="31">
        <f t="shared" si="0"/>
        <v>1759.2487310000006</v>
      </c>
      <c r="D27" s="31">
        <f>39733066.19/10000</f>
        <v>3973.306619</v>
      </c>
      <c r="E27" s="31">
        <f>1512281.35/10000</f>
        <v>151.22813500000001</v>
      </c>
      <c r="F27" s="31">
        <f>4206526.11/10000</f>
        <v>420.65261100000004</v>
      </c>
      <c r="G27" s="5"/>
    </row>
    <row r="28" spans="1:7">
      <c r="A28" s="22" t="s">
        <v>92</v>
      </c>
      <c r="B28" s="31">
        <f>62075832.03/10000</f>
        <v>6207.5832030000001</v>
      </c>
      <c r="C28" s="31">
        <f t="shared" si="0"/>
        <v>4171.2291999999998</v>
      </c>
      <c r="D28" s="31">
        <f>14034747.12/10000</f>
        <v>1403.474712</v>
      </c>
      <c r="E28" s="31">
        <f>2246160.25/10000</f>
        <v>224.61602500000001</v>
      </c>
      <c r="F28" s="31">
        <f>4082632.66/10000</f>
        <v>408.26326599999999</v>
      </c>
      <c r="G28" s="5"/>
    </row>
    <row r="29" spans="1:7">
      <c r="A29" s="48" t="s">
        <v>93</v>
      </c>
      <c r="B29" s="48"/>
      <c r="C29" s="48"/>
      <c r="D29" s="48"/>
      <c r="E29" s="48"/>
      <c r="F29" s="48"/>
      <c r="G29" s="5"/>
    </row>
    <row r="30" spans="1:7">
      <c r="A30" s="8" t="s">
        <v>94</v>
      </c>
    </row>
  </sheetData>
  <mergeCells count="4">
    <mergeCell ref="A29:F29"/>
    <mergeCell ref="A1:F3"/>
    <mergeCell ref="A4:F4"/>
    <mergeCell ref="C5:D5"/>
  </mergeCells>
  <phoneticPr fontId="6" type="noConversion"/>
  <pageMargins left="0.75" right="0.75" top="1" bottom="1" header="0.5" footer="0.5"/>
  <pageSetup paperSize="9" orientation="portrait" r:id="rId1"/>
  <headerFooter alignWithMargins="0">
    <oddFooter>&amp;R&amp;"Times New Roman,常规"&amp;9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保险业经营数据</vt:lpstr>
      <vt:lpstr>产险公司数据</vt:lpstr>
      <vt:lpstr>寿险公司数据</vt:lpstr>
      <vt:lpstr>各地区数据</vt:lpstr>
      <vt:lpstr>保险业经营数据!Print_Area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李抒怡</cp:lastModifiedBy>
  <cp:lastPrinted>2007-04-11T06:10:41Z</cp:lastPrinted>
  <dcterms:created xsi:type="dcterms:W3CDTF">2007-03-03T07:28:37Z</dcterms:created>
  <dcterms:modified xsi:type="dcterms:W3CDTF">2016-11-14T01:32:30Z</dcterms:modified>
</cp:coreProperties>
</file>